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showInkAnnotation="0" codeName="ThisWorkbook" defaultThemeVersion="124226"/>
  <mc:AlternateContent xmlns:mc="http://schemas.openxmlformats.org/markup-compatibility/2006">
    <mc:Choice Requires="x15">
      <x15ac:absPath xmlns:x15ac="http://schemas.microsoft.com/office/spreadsheetml/2010/11/ac" url="S:\Network Shares\K Drive - Public Folders\SG Clean Energy\CE Projects\META Grant 2019\Medfield\01. Annual Report\Draft Reports\"/>
    </mc:Choice>
  </mc:AlternateContent>
  <xr:revisionPtr revIDLastSave="0" documentId="13_ncr:1_{8D70B0B8-1A0F-4E26-AE4D-8976DE344859}" xr6:coauthVersionLast="45" xr6:coauthVersionMax="45" xr10:uidLastSave="{00000000-0000-0000-0000-000000000000}"/>
  <bookViews>
    <workbookView xWindow="2955" yWindow="465" windowWidth="18570" windowHeight="14820" tabRatio="847" firstSheet="1" activeTab="5" xr2:uid="{00000000-000D-0000-FFFF-FFFF00000000}"/>
  </bookViews>
  <sheets>
    <sheet name="ICF" sheetId="56" state="hidden" r:id="rId1"/>
    <sheet name="General Instructions " sheetId="26" r:id="rId2"/>
    <sheet name="AR Compliance Checklist" sheetId="55" r:id="rId3"/>
    <sheet name="Crit 1 &amp; 2" sheetId="19" r:id="rId4"/>
    <sheet name="Crit 1 &amp; 2 - Table 1 Sample" sheetId="37" r:id="rId5"/>
    <sheet name="Crit 3 - Overview" sheetId="23" r:id="rId6"/>
    <sheet name="Building Stock Changes Doc " sheetId="45" r:id="rId7"/>
    <sheet name="Building Stock Change Calculato" sheetId="48" r:id="rId8"/>
    <sheet name="Crit 3 - Table  2 Progress" sheetId="39" r:id="rId9"/>
    <sheet name="Crit 3 -Tbl 3 for Non-MEI Users" sheetId="15" r:id="rId10"/>
    <sheet name="Crit 3 - ECMs" sheetId="32" r:id="rId11"/>
    <sheet name="Crit 3 - Table 4 ECMs" sheetId="4" r:id="rId12"/>
    <sheet name="Crit 3 - Tbl 4 ECMs SAMPLE Data" sheetId="14" r:id="rId13"/>
    <sheet name="RE Guidance" sheetId="29" r:id="rId14"/>
    <sheet name="Crit 3 - Table 5 RE" sheetId="18" r:id="rId15"/>
    <sheet name="Crit 4 - Vehicle Policies" sheetId="30" r:id="rId16"/>
    <sheet name="Crit 4- Table 6 Vehicle Inv" sheetId="57" r:id="rId17"/>
    <sheet name="Crit 4- Table 6 SAMPLE" sheetId="40" r:id="rId18"/>
    <sheet name="Crit 5 - Stretch Code complianc" sheetId="41" r:id="rId19"/>
    <sheet name="Other Notes" sheetId="24" r:id="rId20"/>
    <sheet name="DOER reference" sheetId="28" state="hidden" r:id="rId21"/>
    <sheet name="Reference" sheetId="36" state="hidden" r:id="rId22"/>
    <sheet name="Sheet1" sheetId="42" state="hidden" r:id="rId23"/>
    <sheet name="Sheet2" sheetId="47" state="hidden" r:id="rId24"/>
    <sheet name="Sheet3" sheetId="49" state="hidden" r:id="rId25"/>
    <sheet name="Sheet5" sheetId="52" state="hidden" r:id="rId26"/>
    <sheet name="Sheet6" sheetId="53" state="hidden" r:id="rId27"/>
  </sheets>
  <externalReferences>
    <externalReference r:id="rId28"/>
    <externalReference r:id="rId29"/>
    <externalReference r:id="rId30"/>
    <externalReference r:id="rId31"/>
  </externalReferences>
  <definedNames>
    <definedName name="_xlnm._FilterDatabase" localSheetId="15" hidden="1">'Crit 4 - Vehicle Policies'!#REF!</definedName>
    <definedName name="Category" localSheetId="7">'[1]DOER reference'!$M$1:$M$7</definedName>
    <definedName name="Category">'DOER reference'!$M$1:$M$7</definedName>
    <definedName name="CY_2000" localSheetId="7">[2]source!#REF!</definedName>
    <definedName name="CY_2000" localSheetId="4">[2]source!#REF!</definedName>
    <definedName name="CY_2000" localSheetId="8">[2]source!#REF!</definedName>
    <definedName name="CY_2000">[2]source!#REF!</definedName>
    <definedName name="ECMs" localSheetId="7">'[1]Crit 3 - ECMs'!$C$6:$C$19</definedName>
    <definedName name="ECMs">'Crit 3 - ECMs'!$C$6:$C$19</definedName>
    <definedName name="ECMstatus" localSheetId="7">'[1]Crit 3 - ECMs'!$C$22:$C$25</definedName>
    <definedName name="ECMstatus">'Crit 3 - ECMs'!$C$22:$C$25</definedName>
    <definedName name="FY_2000" localSheetId="7">[2]source!#REF!</definedName>
    <definedName name="FY_2000" localSheetId="4">[2]source!#REF!</definedName>
    <definedName name="FY_2000" localSheetId="8">[2]source!#REF!</definedName>
    <definedName name="FY_2000">[2]source!#REF!</definedName>
    <definedName name="FY_2001" localSheetId="7">[2]source!#REF!</definedName>
    <definedName name="FY_2001" localSheetId="4">[2]source!#REF!</definedName>
    <definedName name="FY_2001" localSheetId="8">[2]source!#REF!</definedName>
    <definedName name="FY_2001">[2]source!#REF!</definedName>
    <definedName name="GalDiesel_MMBTU" localSheetId="7">[1]Reference!$A$10</definedName>
    <definedName name="GalDiesel_MMBTU">Reference!$A$10</definedName>
    <definedName name="GalFuelOil_MMBTU" localSheetId="7">[1]Reference!$A$7</definedName>
    <definedName name="GalFuelOil_MMBTU">Reference!$A$7</definedName>
    <definedName name="GalGasoline_MMBTU" localSheetId="7">[1]Reference!$A$9</definedName>
    <definedName name="GalGasoline_MMBTU">Reference!$A$9</definedName>
    <definedName name="GalPropane_MMBTU" localSheetId="7">[1]Reference!$A$8</definedName>
    <definedName name="GalPropane_MMBTU">Reference!$A$8</definedName>
    <definedName name="kwh_MMBTU" localSheetId="7">[1]Reference!$A$5</definedName>
    <definedName name="kwh_MMBTU">Reference!$A$5</definedName>
    <definedName name="ListDriveSystem" localSheetId="7">'[1]DOER reference'!$H$1:$H$4</definedName>
    <definedName name="ListDriveSystem">'DOER reference'!$H$1:$H$4</definedName>
    <definedName name="ListExempt" localSheetId="7">'[1]DOER reference'!$J$1:$J$3</definedName>
    <definedName name="ListExempt">'DOER reference'!$J$1:$J$3</definedName>
    <definedName name="ListOver8500" localSheetId="7">'[1]DOER reference'!$I$1:$I$4</definedName>
    <definedName name="ListOver8500">'DOER reference'!$I$1:$I$4</definedName>
    <definedName name="ListStretch">'DOER reference'!$K$1:$K$4</definedName>
    <definedName name="ListYN" localSheetId="7">'[1]DOER reference'!$F$1:$F$3</definedName>
    <definedName name="ListYN">'DOER reference'!$F$1:$F$3</definedName>
    <definedName name="_xlnm.Print_Area" localSheetId="7">'Building Stock Change Calculato'!$C$3:$O$31</definedName>
    <definedName name="_xlnm.Print_Area" localSheetId="11">'Crit 3 - Table 4 ECMs'!$D$3:$U$110</definedName>
    <definedName name="_xlnm.Print_Area" localSheetId="12">'Crit 3 - Tbl 4 ECMs SAMPLE Data'!$C$4:$U$14</definedName>
    <definedName name="_xlnm.Print_Area" localSheetId="9">'Crit 3 -Tbl 3 for Non-MEI Users'!$C$6:$T$20</definedName>
    <definedName name="Procuring.Energy.Output" localSheetId="7">'[3]DOER reference'!$P$20:$P$24</definedName>
    <definedName name="Procuring.Energy.Output">'DOER reference'!$P$20:$P$24</definedName>
    <definedName name="Procuring.Energy.Output.">'DOER reference'!$P$20:$P$24</definedName>
    <definedName name="Project.Status">'[4]Drop Downs'!$J$2:$J$5</definedName>
    <definedName name="Resource.Type">'[4]Drop Downs'!$A$2:$A$11</definedName>
    <definedName name="ResourceType." localSheetId="7">'[3]DOER reference'!$J$20:$J$29</definedName>
    <definedName name="ResourceType.">'DOER reference'!$J$20:$J$29</definedName>
    <definedName name="Site.Type">'[4]Drop Downs'!$C$2:$C$10</definedName>
    <definedName name="SiteType." localSheetId="7">'[3]DOER reference'!$L$20:$L$28</definedName>
    <definedName name="SiteType.">'DOER reference'!$L$20:$L$28</definedName>
    <definedName name="Status" localSheetId="7">'[3]DOER reference'!$S$20:$S$23</definedName>
    <definedName name="Status">'DOER reference'!$S$20:$S$23</definedName>
    <definedName name="therms_MMBTU" localSheetId="7">[1]Reference!$A$6</definedName>
    <definedName name="therms_MMBTU">Reference!$A$6</definedName>
    <definedName name="year">[2]source!$A$2:$A$29</definedName>
    <definedName name="Years" localSheetId="7">'[1]DOER reference'!$G$1:$G$19</definedName>
    <definedName name="Years">'DOER reference'!$G$1:$G$12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25" i="48" l="1"/>
  <c r="H25" i="48"/>
  <c r="K19" i="48"/>
  <c r="K13" i="48"/>
  <c r="H13" i="48"/>
  <c r="H19" i="48"/>
  <c r="O20" i="57"/>
  <c r="P20" i="57"/>
  <c r="O21" i="57"/>
  <c r="P21" i="57"/>
  <c r="O22" i="57"/>
  <c r="P22" i="57"/>
  <c r="O23" i="57"/>
  <c r="P23" i="57"/>
  <c r="O24" i="57"/>
  <c r="P24" i="57"/>
  <c r="O25" i="57"/>
  <c r="P25" i="57"/>
  <c r="O26" i="57"/>
  <c r="P26" i="57"/>
  <c r="O27" i="57"/>
  <c r="P27" i="57"/>
  <c r="O28" i="57"/>
  <c r="P28" i="57"/>
  <c r="O29" i="57"/>
  <c r="P29" i="57"/>
  <c r="O30" i="57"/>
  <c r="P30" i="57"/>
  <c r="O31" i="57"/>
  <c r="P31" i="57"/>
  <c r="O32" i="57"/>
  <c r="P32" i="57"/>
  <c r="O33" i="57"/>
  <c r="P33" i="57"/>
  <c r="O34" i="57"/>
  <c r="P34" i="57"/>
  <c r="O35" i="57"/>
  <c r="P35" i="57"/>
  <c r="O36" i="57"/>
  <c r="P36" i="57"/>
  <c r="O37" i="57"/>
  <c r="P37" i="57"/>
  <c r="O38" i="57"/>
  <c r="P38" i="57"/>
  <c r="O39" i="57"/>
  <c r="P39" i="57"/>
  <c r="O40" i="57"/>
  <c r="P40" i="57"/>
  <c r="O41" i="57"/>
  <c r="P41" i="57"/>
  <c r="O42" i="57"/>
  <c r="P42" i="57"/>
  <c r="O43" i="57"/>
  <c r="P43" i="57"/>
  <c r="O14" i="57"/>
  <c r="P14" i="57"/>
  <c r="O13" i="57"/>
  <c r="P13" i="57"/>
  <c r="O12" i="57"/>
  <c r="P12" i="57"/>
  <c r="O11" i="57"/>
  <c r="P11" i="57"/>
  <c r="E62" i="55"/>
  <c r="G62" i="55"/>
  <c r="E48" i="55"/>
  <c r="E63" i="55"/>
  <c r="E45" i="55"/>
  <c r="E24" i="55"/>
  <c r="G24" i="55"/>
  <c r="O17" i="18"/>
  <c r="P17" i="18"/>
  <c r="Q17" i="18"/>
  <c r="R17" i="18"/>
  <c r="N17" i="18"/>
  <c r="K16" i="18"/>
  <c r="L16" i="18"/>
  <c r="M16" i="18"/>
  <c r="J16" i="18"/>
  <c r="O80" i="57"/>
  <c r="O79" i="57"/>
  <c r="O78" i="57"/>
  <c r="O77" i="57"/>
  <c r="O76" i="57"/>
  <c r="O75" i="57"/>
  <c r="O74" i="57"/>
  <c r="O73" i="57"/>
  <c r="O72" i="57"/>
  <c r="O71" i="57"/>
  <c r="O70" i="57"/>
  <c r="O69" i="57"/>
  <c r="O68" i="57"/>
  <c r="O67" i="57"/>
  <c r="O66" i="57"/>
  <c r="O65" i="57"/>
  <c r="O64" i="57"/>
  <c r="O63" i="57"/>
  <c r="O62" i="57"/>
  <c r="O61" i="57"/>
  <c r="O60" i="57"/>
  <c r="O59" i="57"/>
  <c r="O58" i="57"/>
  <c r="O57" i="57"/>
  <c r="O56" i="57"/>
  <c r="O55" i="57"/>
  <c r="O54" i="57"/>
  <c r="O53" i="57"/>
  <c r="O52" i="57"/>
  <c r="O51" i="57"/>
  <c r="O50" i="57"/>
  <c r="O49" i="57"/>
  <c r="O48" i="57"/>
  <c r="O47" i="57"/>
  <c r="O19" i="57"/>
  <c r="P19" i="57"/>
  <c r="O18" i="57"/>
  <c r="P18" i="57"/>
  <c r="O17" i="57"/>
  <c r="P17" i="57"/>
  <c r="O16" i="57"/>
  <c r="P16" i="57"/>
  <c r="O10" i="57"/>
  <c r="P10" i="57"/>
  <c r="O9" i="57"/>
  <c r="P9" i="57"/>
  <c r="O63" i="40"/>
  <c r="O64" i="40"/>
  <c r="O65" i="40"/>
  <c r="O66" i="40"/>
  <c r="O67" i="40"/>
  <c r="O68" i="40"/>
  <c r="O69" i="40"/>
  <c r="O70" i="40"/>
  <c r="O71" i="40"/>
  <c r="O72" i="40"/>
  <c r="O73" i="40"/>
  <c r="O74" i="40"/>
  <c r="O75" i="40"/>
  <c r="O62" i="40"/>
  <c r="O61" i="40"/>
  <c r="O60" i="40"/>
  <c r="O59" i="40"/>
  <c r="O58" i="40"/>
  <c r="O57" i="40"/>
  <c r="O56" i="40"/>
  <c r="O55" i="40"/>
  <c r="O54" i="40"/>
  <c r="O53" i="40"/>
  <c r="O52" i="40"/>
  <c r="O51" i="40"/>
  <c r="O50" i="40"/>
  <c r="O49" i="40"/>
  <c r="O48" i="40"/>
  <c r="O47" i="40"/>
  <c r="O46" i="40"/>
  <c r="O45" i="40"/>
  <c r="O44" i="40"/>
  <c r="O43" i="40"/>
  <c r="O42" i="40"/>
  <c r="O10" i="40"/>
  <c r="P10" i="40"/>
  <c r="O38" i="40"/>
  <c r="P38" i="40"/>
  <c r="O37" i="40"/>
  <c r="P37" i="40"/>
  <c r="O36" i="40"/>
  <c r="P36" i="40"/>
  <c r="O35" i="40"/>
  <c r="P35" i="40"/>
  <c r="O34" i="40"/>
  <c r="P34" i="40"/>
  <c r="O33" i="40"/>
  <c r="P33" i="40"/>
  <c r="O32" i="40"/>
  <c r="P32" i="40"/>
  <c r="O31" i="40"/>
  <c r="P31" i="40"/>
  <c r="O30" i="40"/>
  <c r="P30" i="40"/>
  <c r="O29" i="40"/>
  <c r="P29" i="40"/>
  <c r="O28" i="40"/>
  <c r="P28" i="40"/>
  <c r="O27" i="40"/>
  <c r="P27" i="40"/>
  <c r="O26" i="40"/>
  <c r="P26" i="40"/>
  <c r="O25" i="40"/>
  <c r="P25" i="40"/>
  <c r="O24" i="40"/>
  <c r="P24" i="40"/>
  <c r="O23" i="40"/>
  <c r="P23" i="40"/>
  <c r="O22" i="40"/>
  <c r="P22" i="40"/>
  <c r="O21" i="40"/>
  <c r="P21" i="40"/>
  <c r="O20" i="40"/>
  <c r="P20" i="40"/>
  <c r="O19" i="40"/>
  <c r="P19" i="40"/>
  <c r="O18" i="40"/>
  <c r="P18" i="40"/>
  <c r="O17" i="40"/>
  <c r="P17" i="40"/>
  <c r="O16" i="40"/>
  <c r="P16" i="40"/>
  <c r="O15" i="40"/>
  <c r="P15" i="40"/>
  <c r="O14" i="40"/>
  <c r="O13" i="40"/>
  <c r="O12" i="40"/>
  <c r="P12" i="40"/>
  <c r="O11" i="40"/>
  <c r="P11" i="40"/>
  <c r="O9" i="40"/>
  <c r="G13" i="48"/>
  <c r="L13" i="48"/>
  <c r="J13" i="48"/>
  <c r="D23" i="39"/>
  <c r="H20" i="39"/>
  <c r="H12" i="39"/>
  <c r="H13" i="39"/>
  <c r="H14" i="39"/>
  <c r="H15" i="39"/>
  <c r="H16" i="39"/>
  <c r="H11" i="39"/>
  <c r="E66" i="55"/>
  <c r="F66" i="55"/>
  <c r="E65" i="55"/>
  <c r="F65" i="55"/>
  <c r="E64" i="55"/>
  <c r="F64" i="55"/>
  <c r="E61" i="55"/>
  <c r="F61" i="55"/>
  <c r="E60" i="55"/>
  <c r="F60" i="55"/>
  <c r="E59" i="55"/>
  <c r="F59" i="55"/>
  <c r="E58" i="55"/>
  <c r="F58" i="55"/>
  <c r="E57" i="55"/>
  <c r="F57" i="55"/>
  <c r="E56" i="55"/>
  <c r="F56" i="55"/>
  <c r="E55" i="55"/>
  <c r="F55" i="55"/>
  <c r="E54" i="55"/>
  <c r="F54" i="55"/>
  <c r="E53" i="55"/>
  <c r="F53" i="55"/>
  <c r="E52" i="55"/>
  <c r="F52" i="55"/>
  <c r="E51" i="55"/>
  <c r="F51" i="55"/>
  <c r="E50" i="55"/>
  <c r="F50" i="55"/>
  <c r="E49" i="55"/>
  <c r="F49" i="55"/>
  <c r="F48" i="55"/>
  <c r="F45" i="55"/>
  <c r="E44" i="55"/>
  <c r="F44" i="55"/>
  <c r="E43" i="55"/>
  <c r="F43" i="55"/>
  <c r="E41" i="55"/>
  <c r="F41" i="55"/>
  <c r="E40" i="55"/>
  <c r="F40" i="55"/>
  <c r="E37" i="55"/>
  <c r="F37" i="55"/>
  <c r="E36" i="55"/>
  <c r="F36" i="55"/>
  <c r="E34" i="55"/>
  <c r="F34" i="55"/>
  <c r="E33" i="55"/>
  <c r="F33" i="55"/>
  <c r="E32" i="55"/>
  <c r="F32" i="55"/>
  <c r="E31" i="55"/>
  <c r="F31" i="55"/>
  <c r="E30" i="55"/>
  <c r="F30" i="55"/>
  <c r="E29" i="55"/>
  <c r="F29" i="55"/>
  <c r="E28" i="55"/>
  <c r="F28" i="55"/>
  <c r="E27" i="55"/>
  <c r="F27" i="55"/>
  <c r="E26" i="55"/>
  <c r="F26" i="55"/>
  <c r="E25" i="55"/>
  <c r="F25" i="55"/>
  <c r="E23" i="55"/>
  <c r="F23" i="55"/>
  <c r="E22" i="55"/>
  <c r="F22" i="55"/>
  <c r="E21" i="55"/>
  <c r="F21" i="55"/>
  <c r="E20" i="55"/>
  <c r="F20" i="55"/>
  <c r="E19" i="55"/>
  <c r="F19" i="55"/>
  <c r="E18" i="55"/>
  <c r="F18" i="55"/>
  <c r="E17" i="55"/>
  <c r="F17" i="55"/>
  <c r="E16" i="55"/>
  <c r="F16" i="55"/>
  <c r="E15" i="55"/>
  <c r="F15" i="55"/>
  <c r="E14" i="55"/>
  <c r="F14" i="55"/>
  <c r="E13" i="55"/>
  <c r="F13" i="55"/>
  <c r="D19" i="39"/>
  <c r="F24" i="55"/>
  <c r="E38" i="55"/>
  <c r="F38" i="55"/>
  <c r="G63" i="55"/>
  <c r="F63" i="55"/>
  <c r="G38" i="55"/>
  <c r="E66" i="36"/>
  <c r="E65" i="36"/>
  <c r="E64" i="36"/>
  <c r="B64" i="36"/>
  <c r="C64" i="36"/>
  <c r="E63" i="36"/>
  <c r="E62" i="36"/>
  <c r="B62" i="36"/>
  <c r="C62" i="36"/>
  <c r="E61" i="36"/>
  <c r="B61" i="36"/>
  <c r="C61" i="36"/>
  <c r="E60" i="36"/>
  <c r="B60" i="36"/>
  <c r="C60" i="36"/>
  <c r="E59" i="36"/>
  <c r="B59" i="36"/>
  <c r="C59" i="36"/>
  <c r="E58" i="36"/>
  <c r="E57" i="36"/>
  <c r="E56" i="36"/>
  <c r="B56" i="36"/>
  <c r="C56" i="36"/>
  <c r="E55" i="36"/>
  <c r="B55" i="36"/>
  <c r="C55" i="36"/>
  <c r="E54" i="36"/>
  <c r="C54" i="36"/>
  <c r="B54" i="36"/>
  <c r="E53" i="36"/>
  <c r="B53" i="36"/>
  <c r="C53" i="36"/>
  <c r="E52" i="36"/>
  <c r="B52" i="36"/>
  <c r="C52" i="36"/>
  <c r="E51" i="36"/>
  <c r="B51" i="36"/>
  <c r="C51" i="36"/>
  <c r="E49" i="36"/>
  <c r="E48" i="36"/>
  <c r="E47" i="36"/>
  <c r="E46" i="36"/>
  <c r="E45" i="36"/>
  <c r="B45" i="36"/>
  <c r="C45" i="36"/>
  <c r="E44" i="36"/>
  <c r="B44" i="36"/>
  <c r="C44" i="36"/>
  <c r="E43" i="36"/>
  <c r="B43" i="36"/>
  <c r="C43" i="36"/>
  <c r="E42" i="36"/>
  <c r="E41" i="36"/>
  <c r="B41" i="36"/>
  <c r="B42" i="36"/>
  <c r="C42" i="36"/>
  <c r="E40" i="36"/>
  <c r="E39" i="36"/>
  <c r="E38" i="36"/>
  <c r="E37" i="36"/>
  <c r="E36" i="36"/>
  <c r="E35" i="36"/>
  <c r="E34" i="36"/>
  <c r="E33" i="36"/>
  <c r="E32" i="36"/>
  <c r="E31" i="36"/>
  <c r="E30" i="36"/>
  <c r="E29" i="36"/>
  <c r="E28" i="36"/>
  <c r="E27" i="36"/>
  <c r="E26" i="36"/>
  <c r="E25" i="36"/>
  <c r="E24" i="36"/>
  <c r="E23" i="36"/>
  <c r="E22" i="36"/>
  <c r="E21" i="36"/>
  <c r="E20" i="36"/>
  <c r="E19" i="36"/>
  <c r="E18" i="36"/>
  <c r="E17" i="36"/>
  <c r="E16" i="36"/>
  <c r="E15" i="36"/>
  <c r="E14" i="36"/>
  <c r="D16" i="28"/>
  <c r="D17" i="28"/>
  <c r="D18" i="28"/>
  <c r="D19" i="28"/>
  <c r="D20" i="28"/>
  <c r="D21" i="28"/>
  <c r="D22" i="28"/>
  <c r="D23" i="28"/>
  <c r="D24" i="28"/>
  <c r="D25" i="28"/>
  <c r="D26" i="28"/>
  <c r="W15" i="28"/>
  <c r="W14" i="28"/>
  <c r="W13" i="28"/>
  <c r="W12" i="28"/>
  <c r="W11" i="28"/>
  <c r="W10" i="28"/>
  <c r="W9" i="28"/>
  <c r="W8" i="28"/>
  <c r="W7" i="28"/>
  <c r="W6" i="28"/>
  <c r="W5" i="28"/>
  <c r="W4" i="28"/>
  <c r="C32" i="30"/>
  <c r="C28" i="30"/>
  <c r="G66" i="55"/>
  <c r="G65" i="55"/>
  <c r="G64" i="55"/>
  <c r="G61" i="55"/>
  <c r="G60" i="55"/>
  <c r="G59" i="55"/>
  <c r="G58" i="55"/>
  <c r="G57" i="55"/>
  <c r="G56" i="55"/>
  <c r="G55" i="55"/>
  <c r="G54" i="55"/>
  <c r="G53" i="55"/>
  <c r="G52" i="55"/>
  <c r="G51" i="55"/>
  <c r="G50" i="55"/>
  <c r="G49" i="55"/>
  <c r="G48" i="55"/>
  <c r="G45" i="55"/>
  <c r="G44" i="55"/>
  <c r="G43" i="55"/>
  <c r="G41" i="55"/>
  <c r="G40" i="55"/>
  <c r="G37" i="55"/>
  <c r="G36" i="55"/>
  <c r="G34" i="55"/>
  <c r="G33" i="55"/>
  <c r="G32" i="55"/>
  <c r="G31" i="55"/>
  <c r="G30" i="55"/>
  <c r="G29" i="55"/>
  <c r="G28" i="55"/>
  <c r="G27" i="55"/>
  <c r="G26" i="55"/>
  <c r="G25" i="55"/>
  <c r="G23" i="55"/>
  <c r="G22" i="55"/>
  <c r="G21" i="55"/>
  <c r="G20" i="55"/>
  <c r="G19" i="55"/>
  <c r="G18" i="55"/>
  <c r="G17" i="55"/>
  <c r="G16" i="55"/>
  <c r="G15" i="55"/>
  <c r="G14" i="55"/>
  <c r="G13" i="55"/>
  <c r="M17" i="18"/>
  <c r="L17" i="18"/>
  <c r="J17" i="18"/>
  <c r="R8" i="18"/>
  <c r="N8" i="18"/>
  <c r="S13" i="14"/>
  <c r="R13" i="14"/>
  <c r="Q13" i="14"/>
  <c r="P13" i="14"/>
  <c r="O13" i="14"/>
  <c r="N13" i="14"/>
  <c r="N14" i="14"/>
  <c r="M13" i="14"/>
  <c r="M14" i="14"/>
  <c r="L13" i="14"/>
  <c r="L14" i="14"/>
  <c r="K13" i="14"/>
  <c r="K14" i="14"/>
  <c r="J13" i="14"/>
  <c r="J14" i="14"/>
  <c r="I13" i="14"/>
  <c r="I14" i="14"/>
  <c r="S109" i="4"/>
  <c r="R109" i="4"/>
  <c r="Q109" i="4"/>
  <c r="P109" i="4"/>
  <c r="O109" i="4"/>
  <c r="N109" i="4"/>
  <c r="N110" i="4"/>
  <c r="M109" i="4"/>
  <c r="M110" i="4"/>
  <c r="L109" i="4"/>
  <c r="L110" i="4"/>
  <c r="K109" i="4"/>
  <c r="K110" i="4"/>
  <c r="J109" i="4"/>
  <c r="J110" i="4"/>
  <c r="I109" i="4"/>
  <c r="I110" i="4"/>
  <c r="S19" i="15"/>
  <c r="Q19" i="15"/>
  <c r="O19" i="15"/>
  <c r="M19" i="15"/>
  <c r="K19" i="15"/>
  <c r="I19" i="15"/>
  <c r="G19" i="15"/>
  <c r="E19" i="15"/>
  <c r="S18" i="15"/>
  <c r="Q18" i="15"/>
  <c r="O18" i="15"/>
  <c r="M18" i="15"/>
  <c r="K18" i="15"/>
  <c r="I18" i="15"/>
  <c r="G18" i="15"/>
  <c r="E18" i="15"/>
  <c r="S17" i="15"/>
  <c r="Q17" i="15"/>
  <c r="O17" i="15"/>
  <c r="M17" i="15"/>
  <c r="K17" i="15"/>
  <c r="I17" i="15"/>
  <c r="G17" i="15"/>
  <c r="E17" i="15"/>
  <c r="S16" i="15"/>
  <c r="Q16" i="15"/>
  <c r="O16" i="15"/>
  <c r="M16" i="15"/>
  <c r="K16" i="15"/>
  <c r="I16" i="15"/>
  <c r="G16" i="15"/>
  <c r="E16" i="15"/>
  <c r="S15" i="15"/>
  <c r="Q15" i="15"/>
  <c r="O15" i="15"/>
  <c r="M15" i="15"/>
  <c r="K15" i="15"/>
  <c r="I15" i="15"/>
  <c r="G15" i="15"/>
  <c r="E15" i="15"/>
  <c r="R14" i="15"/>
  <c r="R20" i="15"/>
  <c r="S20" i="15"/>
  <c r="P14" i="15"/>
  <c r="P20" i="15"/>
  <c r="Q20" i="15"/>
  <c r="N14" i="15"/>
  <c r="N20" i="15"/>
  <c r="O20" i="15"/>
  <c r="L14" i="15"/>
  <c r="L20" i="15"/>
  <c r="M20" i="15"/>
  <c r="J14" i="15"/>
  <c r="J20" i="15"/>
  <c r="K20" i="15"/>
  <c r="H14" i="15"/>
  <c r="H20" i="15"/>
  <c r="I20" i="15"/>
  <c r="F14" i="15"/>
  <c r="F20" i="15"/>
  <c r="G20" i="15"/>
  <c r="D14" i="15"/>
  <c r="D20" i="15"/>
  <c r="E20" i="15"/>
  <c r="S13" i="15"/>
  <c r="Q13" i="15"/>
  <c r="O13" i="15"/>
  <c r="M13" i="15"/>
  <c r="K13" i="15"/>
  <c r="I13" i="15"/>
  <c r="G13" i="15"/>
  <c r="E13" i="15"/>
  <c r="S12" i="15"/>
  <c r="Q12" i="15"/>
  <c r="O12" i="15"/>
  <c r="M12" i="15"/>
  <c r="K12" i="15"/>
  <c r="I12" i="15"/>
  <c r="G12" i="15"/>
  <c r="E12" i="15"/>
  <c r="S11" i="15"/>
  <c r="Q11" i="15"/>
  <c r="O11" i="15"/>
  <c r="M11" i="15"/>
  <c r="M14" i="15"/>
  <c r="K11" i="15"/>
  <c r="I11" i="15"/>
  <c r="G11" i="15"/>
  <c r="E11" i="15"/>
  <c r="C7" i="15"/>
  <c r="G29" i="48"/>
  <c r="J29" i="48"/>
  <c r="G28" i="48"/>
  <c r="L28" i="48"/>
  <c r="L27" i="48"/>
  <c r="G27" i="48"/>
  <c r="J27" i="48"/>
  <c r="L26" i="48"/>
  <c r="J26" i="48"/>
  <c r="G26" i="48"/>
  <c r="P25" i="48"/>
  <c r="M25" i="48"/>
  <c r="L25" i="48"/>
  <c r="J25" i="48"/>
  <c r="G25" i="48"/>
  <c r="L23" i="48"/>
  <c r="J23" i="48"/>
  <c r="G23" i="48"/>
  <c r="G22" i="48"/>
  <c r="L22" i="48"/>
  <c r="G21" i="48"/>
  <c r="L21" i="48"/>
  <c r="L20" i="48"/>
  <c r="G20" i="48"/>
  <c r="J20" i="48"/>
  <c r="P19" i="48"/>
  <c r="M19" i="48"/>
  <c r="G19" i="48"/>
  <c r="L19" i="48"/>
  <c r="L17" i="48"/>
  <c r="G17" i="48"/>
  <c r="J17" i="48"/>
  <c r="L16" i="48"/>
  <c r="J16" i="48"/>
  <c r="G16" i="48"/>
  <c r="G15" i="48"/>
  <c r="L15" i="48"/>
  <c r="G14" i="48"/>
  <c r="L14" i="48"/>
  <c r="P13" i="48"/>
  <c r="M13" i="48"/>
  <c r="E55" i="23"/>
  <c r="C55" i="23"/>
  <c r="C52" i="23"/>
  <c r="L30" i="23"/>
  <c r="C30" i="23"/>
  <c r="C23" i="23"/>
  <c r="C18" i="23"/>
  <c r="C17" i="23"/>
  <c r="C16" i="23"/>
  <c r="J28" i="48"/>
  <c r="N25" i="48"/>
  <c r="O29" i="48"/>
  <c r="E17" i="39"/>
  <c r="E19" i="39"/>
  <c r="L29" i="48"/>
  <c r="Q25" i="48"/>
  <c r="R29" i="48"/>
  <c r="E21" i="39"/>
  <c r="E23" i="39"/>
  <c r="J22" i="48"/>
  <c r="J19" i="48"/>
  <c r="J21" i="48"/>
  <c r="J15" i="48"/>
  <c r="J14" i="48"/>
  <c r="Q13" i="48"/>
  <c r="R17" i="48"/>
  <c r="G21" i="39"/>
  <c r="P13" i="40"/>
  <c r="P14" i="40"/>
  <c r="P9" i="40"/>
  <c r="K14" i="15"/>
  <c r="Q14" i="15"/>
  <c r="Q19" i="48"/>
  <c r="R23" i="48"/>
  <c r="F21" i="39"/>
  <c r="F23" i="39"/>
  <c r="S14" i="15"/>
  <c r="C41" i="36"/>
  <c r="T11" i="15"/>
  <c r="T12" i="15"/>
  <c r="T13" i="15"/>
  <c r="T15" i="15"/>
  <c r="T16" i="15"/>
  <c r="T17" i="15"/>
  <c r="T18" i="15"/>
  <c r="T19" i="15"/>
  <c r="G14" i="15"/>
  <c r="G14" i="14"/>
  <c r="I14" i="15"/>
  <c r="N13" i="48"/>
  <c r="O17" i="48"/>
  <c r="G17" i="39"/>
  <c r="O14" i="15"/>
  <c r="G110" i="4"/>
  <c r="T20" i="15"/>
  <c r="E47" i="55"/>
  <c r="E14" i="15"/>
  <c r="G23" i="39"/>
  <c r="H23" i="39"/>
  <c r="E42" i="55"/>
  <c r="F42" i="55"/>
  <c r="E35" i="55"/>
  <c r="F35" i="55"/>
  <c r="G19" i="39"/>
  <c r="N19" i="48"/>
  <c r="O23" i="48"/>
  <c r="F17" i="39"/>
  <c r="F19" i="39"/>
  <c r="T14" i="15"/>
  <c r="E46" i="55"/>
  <c r="F47" i="55"/>
  <c r="G35" i="55"/>
  <c r="G42" i="55"/>
  <c r="E39" i="55"/>
  <c r="H19" i="39"/>
  <c r="G47" i="55"/>
  <c r="F46" i="55"/>
  <c r="G39" i="55"/>
  <c r="F39" i="55"/>
  <c r="D11" i="55"/>
  <c r="G46" i="55"/>
  <c r="C22" i="26"/>
</calcChain>
</file>

<file path=xl/sharedStrings.xml><?xml version="1.0" encoding="utf-8"?>
<sst xmlns="http://schemas.openxmlformats.org/spreadsheetml/2006/main" count="2162" uniqueCount="851">
  <si>
    <t>C3 - Uses MEI</t>
  </si>
  <si>
    <t>Please provide the date the information in MassEnergyInsight was last verified. By including a date, you are confirming that the information in MEI is accurate and complete (including all fuels and renewable energy) and that you wish to report your Green Community annual energy usage directly through MEI. REMEMBER to load all diesel, gasoline, heating oil and propane energy usage, as well as renewable energy usage that is NOT virtually net-metered, into MEI prior to providing a date that your data is complete.  Also, confirm that Table 3 in MEI matches the data provided in Table 2.</t>
  </si>
  <si>
    <t>C3 - No MEI</t>
  </si>
  <si>
    <t xml:space="preserve">Please complete “Crit 3 - Tbl 3  Non-MEI User Only." </t>
  </si>
  <si>
    <t>RSD</t>
  </si>
  <si>
    <t>To include a percentage of the energy use of a Regional School District, please include that prorated usage as a separate entry in lines 17 and 21 of Table 2:  Enter here the % you are using to prorate the energy usage (i.e. the percentage of the RSD funding that the municipality contributes). Contact your Regional Coordinator if you need assistance.</t>
  </si>
  <si>
    <t>EMS</t>
  </si>
  <si>
    <t>Your EMS annual report may be used to fulfill your Green Communities Annual Report Table 4 requirement. Please provide the date it was filed with DOER, or the date it will be filed if filing is anticipated in the next six months. Other efficiency measures undertaken independently of the performance contract should be reported using Table 4. All other portions of the Green Communities Annual Report must be completed.</t>
  </si>
  <si>
    <t>Bld Stck Chg</t>
  </si>
  <si>
    <t>GREEN COMMUNITY ANNUAL REPORT</t>
  </si>
  <si>
    <r>
      <t xml:space="preserve">Late reports </t>
    </r>
    <r>
      <rPr>
        <b/>
        <sz val="11"/>
        <color indexed="10"/>
        <rFont val="Arial"/>
        <family val="2"/>
      </rPr>
      <t>WILL</t>
    </r>
    <r>
      <rPr>
        <b/>
        <sz val="11"/>
        <rFont val="Arial"/>
        <family val="2"/>
      </rPr>
      <t xml:space="preserve"> deem a community ineligible for the 2021 Competitive Grant.</t>
    </r>
  </si>
  <si>
    <t xml:space="preserve">2) Please be certain to address all areas in full.  If certain requested information does not apply, then please note it as “N/A."  </t>
  </si>
  <si>
    <t>3) Please follow the instruction for reporting on each Criteria on the individual Criterion Excel Sheets.</t>
  </si>
  <si>
    <r>
      <t xml:space="preserve">4) If you have any questions on these reporting requirements, contact your DOER Green Communities Regional Coordinator (RC).  The objective is to have a dialogue with Green Communities staff </t>
    </r>
    <r>
      <rPr>
        <b/>
        <sz val="10"/>
        <rFont val="Arial"/>
        <family val="2"/>
      </rPr>
      <t>BEFORE</t>
    </r>
    <r>
      <rPr>
        <sz val="10"/>
        <rFont val="Arial"/>
        <family val="2"/>
      </rPr>
      <t xml:space="preserve"> the report is due so that minimal follow-up with the municipality is required after the due date.</t>
    </r>
  </si>
  <si>
    <r>
      <t xml:space="preserve">5) Submit your community's full Excel file electronically as Excel via email with any other supporting files to Grant Administrator Jane Pfister - </t>
    </r>
    <r>
      <rPr>
        <u/>
        <sz val="10"/>
        <color rgb="FF0070C0"/>
        <rFont val="Arial"/>
        <family val="2"/>
      </rPr>
      <t>jane.pfister@mass.gov</t>
    </r>
    <r>
      <rPr>
        <sz val="10"/>
        <rFont val="Arial"/>
        <family val="2"/>
      </rPr>
      <t xml:space="preserve"> and your Regional Coordinator.  </t>
    </r>
    <r>
      <rPr>
        <b/>
        <i/>
        <sz val="10"/>
        <rFont val="Arial"/>
        <family val="2"/>
      </rPr>
      <t xml:space="preserve">This page must be signed, made into a PDF, and submitted as a separate file. </t>
    </r>
    <r>
      <rPr>
        <sz val="10"/>
        <rFont val="Arial"/>
        <family val="2"/>
      </rPr>
      <t xml:space="preserve">Please submit only </t>
    </r>
    <r>
      <rPr>
        <b/>
        <sz val="10"/>
        <rFont val="Arial"/>
        <family val="2"/>
      </rPr>
      <t>one Excel file</t>
    </r>
    <r>
      <rPr>
        <sz val="10"/>
        <rFont val="Arial"/>
        <family val="2"/>
      </rPr>
      <t xml:space="preserve"> for the annual report. DOER will not accept multiple spreadsheets</t>
    </r>
  </si>
  <si>
    <t xml:space="preserve">6)  NOTE:  In the case of any criteria violations( e.g. a vehicle purchased that does not meet the fuel efficient vehicle policy), the municipality will be asked to provide a corrective action plan.  A first-time violation will be factored into consideration when DOER awards funds under the next available Green Communities funding opportunity.   A second violation may prohibit the municipality from being eligible for any funds in the next available Green Communities funding opportunity. </t>
  </si>
  <si>
    <t>8) Fields highlighted in yellow should be completed by Green Communities.</t>
  </si>
  <si>
    <t>Date Designated:</t>
  </si>
  <si>
    <r>
      <rPr>
        <b/>
        <sz val="10"/>
        <rFont val="Arial"/>
        <family val="2"/>
      </rPr>
      <t>PLEASE NOTE:</t>
    </r>
    <r>
      <rPr>
        <sz val="10"/>
        <rFont val="Arial"/>
        <family val="2"/>
      </rPr>
      <t xml:space="preserve">  For a municipality designated December 2018, the reporting period is 18 months, Jan 1, 2019 - June 30 2020</t>
    </r>
  </si>
  <si>
    <t>Date of Annual Report Submission</t>
  </si>
  <si>
    <t>Name of Preparer of Annual Report</t>
  </si>
  <si>
    <t>Title</t>
  </si>
  <si>
    <t>Municipality Name</t>
  </si>
  <si>
    <t>I confirm that I have reviewed this report and verify all information is true.</t>
  </si>
  <si>
    <t>Signature of Chief Executive Officer</t>
  </si>
  <si>
    <t>The Chief Executive Officer is defined as the manager in any city having a manager and in any town having a city form of government, the mayor in any other city, and the board of selectmen in any other town unless some other officer or body is designated to perform the functions of a chief executive officer under the provisions of a local charter or laws having the force of a charter.  Any signatures of designees will be considered an attestation that the signatory has been designated the designee by the municipality.</t>
  </si>
  <si>
    <t>Required Values</t>
  </si>
  <si>
    <t xml:space="preserve">All values that are required to be reported in this annual report are listed here. If an input appears in red, the "Note" column will explain which cell or cells are missing a value. Click the input item name to go to the item in the corresponding input tab. Prior to submitting this annual report please review this tab to make sure no required items are missing.  If any item cannot be completed, please provide an explanation. </t>
  </si>
  <si>
    <t>&lt;Select YES or NO&gt;</t>
  </si>
  <si>
    <t>Yes</t>
  </si>
  <si>
    <t>No</t>
  </si>
  <si>
    <t>Inputs</t>
  </si>
  <si>
    <t>Tab</t>
  </si>
  <si>
    <t>Item</t>
  </si>
  <si>
    <t>Status</t>
  </si>
  <si>
    <t>Note</t>
  </si>
  <si>
    <t>Explanation</t>
  </si>
  <si>
    <t>Crit 1 &amp; 2</t>
  </si>
  <si>
    <t>Type of as-of-right siting approval received</t>
  </si>
  <si>
    <t>Type of expedited permitting approval received</t>
  </si>
  <si>
    <t xml:space="preserve">1) Have any significant changes been made to the zoning district(s) for which the community received Green Communities designation? </t>
  </si>
  <si>
    <t xml:space="preserve">2) Have any significant changes been made to site plan, design, or other development review criteria or any permit review procedures that would impact the ability to permit qualifying clean energy uses as-of-right and in a timely manner? </t>
  </si>
  <si>
    <t>3) Since your last Annual Report, or Designation Application (if first Annual Report) have any clean energy projects applied for approval under the zoning for which the community received Green Community Designation? Have any clean energy project been approved for construction?</t>
  </si>
  <si>
    <t>Table 1</t>
  </si>
  <si>
    <t>Crit 3 - Overview</t>
  </si>
  <si>
    <t>Is Regional School District (RSD) energy included?</t>
  </si>
  <si>
    <t>What is the name of the RSD?</t>
  </si>
  <si>
    <t>How is RSD energy included?</t>
  </si>
  <si>
    <t>% or names of RSD building energy included</t>
  </si>
  <si>
    <t>Does the community use MEI?</t>
  </si>
  <si>
    <t>Date MEI was last verified</t>
  </si>
  <si>
    <t>Does the community use an EMS Agreement?</t>
  </si>
  <si>
    <t>Date EMS filed with DOER</t>
  </si>
  <si>
    <t>Does the community use conventionally net meter renewable energy produced within the community?</t>
  </si>
  <si>
    <t>Brief narrative of changes seen and anticipated.</t>
  </si>
  <si>
    <t>Has the community had any building stock changes since it's baseline year?</t>
  </si>
  <si>
    <t>Have any building stock changes occurred since your last Annual Report?</t>
  </si>
  <si>
    <t>Building stock change narrative</t>
  </si>
  <si>
    <t>Building Stock Change Calculator</t>
  </si>
  <si>
    <t>Building stock change calculator complete for all building stock changes that have occurred since the baseline year</t>
  </si>
  <si>
    <t>Crit 3 - Table  2 Progress</t>
  </si>
  <si>
    <t>Does the Community use Calendar Year (CY) or Fiscal Year (FY)?</t>
  </si>
  <si>
    <t>Baseline Year</t>
  </si>
  <si>
    <t>Building Stock Change Adjustment - Current year</t>
  </si>
  <si>
    <t>Regional School Prorated - Baseline year</t>
  </si>
  <si>
    <t>Regional School Prorated - Current Year</t>
  </si>
  <si>
    <t>TOTAL ENERGY CONSUMPTION   (NO Weather Normalization) - Baseline year</t>
  </si>
  <si>
    <t>TOTAL ENERGY CONSUMPTION   (NO Weather Normalization) - Current year</t>
  </si>
  <si>
    <t>Weather Normalized Consumption (without building stock adjustment) - Baseline year</t>
  </si>
  <si>
    <t>Weather Normalized Consumption (without building stock adjustment) - Current year</t>
  </si>
  <si>
    <t>Building Stock Change Adjustment (weather - normalized) - Current year</t>
  </si>
  <si>
    <t>Regional School Prorated (weather-normalized) - Baseline year</t>
  </si>
  <si>
    <t>Regional School Prorated (weather-normalized) - Current year</t>
  </si>
  <si>
    <t>Crit 3 -Tbl 3 for Non-MEI Users</t>
  </si>
  <si>
    <t>Select plan year</t>
  </si>
  <si>
    <t>Subtotal for buildings</t>
  </si>
  <si>
    <t>Total energy consumption</t>
  </si>
  <si>
    <t>Crit 3 - Table 4 ECMs</t>
  </si>
  <si>
    <t>Enter at least one ECM</t>
  </si>
  <si>
    <t>Crit 3 - Table 5 RE</t>
  </si>
  <si>
    <t>If the community uses renewable energy, complete Table 5</t>
  </si>
  <si>
    <t>Crit 4 - Vehicle Policies</t>
  </si>
  <si>
    <t>1) Replaced an exempt or non-exempt vehicle?</t>
  </si>
  <si>
    <t>2) Acquired a new exempt or non-exempt vehicle, and/or conducted inter-departmental vehicle transfers?</t>
  </si>
  <si>
    <t>3) Installed an electric vehicle charging station?</t>
  </si>
  <si>
    <t>4) Installed idle-reduction technology on any vehicles?</t>
  </si>
  <si>
    <t>5) Implemented anti-idling technology and/or campaigns?</t>
  </si>
  <si>
    <t>6) Implemented a driving monitoring system that records miles driven and/or fuel consumption?</t>
  </si>
  <si>
    <t>7) Implement a fuel use reporting system for operators on fuel efficiency ?</t>
  </si>
  <si>
    <t xml:space="preserve">8) Implement any other policies and/or technologies not listed above? </t>
  </si>
  <si>
    <t>Narrative for #8</t>
  </si>
  <si>
    <t>9) Does the community met Criterion 4 through alternative compliance?</t>
  </si>
  <si>
    <t>Narrative for #9</t>
  </si>
  <si>
    <t>10) For communities that met Criterion 4 through alternative compliance, provide as a status regarding the success of these programs and policies.</t>
  </si>
  <si>
    <t>Crit 4 - Vehicle Inventory</t>
  </si>
  <si>
    <t>If the community has acquired a new vehicle or transferred a vehicle in the FY fill out Table 6 (Acquisitions)</t>
  </si>
  <si>
    <t>Crit 5 - Stretch Code compliance</t>
  </si>
  <si>
    <t>Is the stretch code still in effect?</t>
  </si>
  <si>
    <t>Were any residential occupancy permits issued since your last Annual Report or Designation Application (if first Annual Report)?</t>
  </si>
  <si>
    <t>How many occupancy permits were issued for new commercial construction over 100,000 sq.ft.?</t>
  </si>
  <si>
    <t>Criteria 1 and 2</t>
  </si>
  <si>
    <t>Type of as-of-right siting approval received:</t>
  </si>
  <si>
    <t>Type of expedited permitting approval received:</t>
  </si>
  <si>
    <r>
      <t xml:space="preserve">2) Have any significant changes been made to </t>
    </r>
    <r>
      <rPr>
        <b/>
        <sz val="10"/>
        <rFont val="Arial"/>
        <family val="2"/>
      </rPr>
      <t>site plan, design, or other development review criteria</t>
    </r>
    <r>
      <rPr>
        <sz val="10"/>
        <rFont val="Arial"/>
        <family val="2"/>
      </rPr>
      <t xml:space="preserve"> or any permit review procedures that would impact the ability to permit qualifying clean energy uses as-of-right and in a timely manner? Significant changes would be anything that pertains to the “by-right” nature of the zoning or to the amount of time necessary to review required permits.  
</t>
    </r>
    <r>
      <rPr>
        <b/>
        <sz val="10"/>
        <rFont val="Arial"/>
        <family val="2"/>
      </rPr>
      <t>If yes</t>
    </r>
    <r>
      <rPr>
        <sz val="10"/>
        <rFont val="Arial"/>
        <family val="2"/>
      </rPr>
      <t xml:space="preserve">, attach a letter from municipal counsel that describes the changes, illustrates any potential impact on the siting of clean energy projects, and affirms continued compliance with the Green Communities As-of-Right Zoning and Expedited Permitting criteria.
</t>
    </r>
    <r>
      <rPr>
        <b/>
        <sz val="10"/>
        <rFont val="Arial"/>
        <family val="2"/>
      </rPr>
      <t xml:space="preserve">Select YES or NO in the dropdown on the right. </t>
    </r>
  </si>
  <si>
    <t xml:space="preserve">NARRATIVE: </t>
  </si>
  <si>
    <t xml:space="preserve">PERMITTING: </t>
  </si>
  <si>
    <r>
      <t xml:space="preserve">3) Since your last Annual Report, or Designation Application (if first Annual Report) have any clean energy projects applied for approval </t>
    </r>
    <r>
      <rPr>
        <b/>
        <sz val="10"/>
        <rFont val="Arial"/>
        <family val="2"/>
      </rPr>
      <t>under the zoning for which the community received Green Community Designation</t>
    </r>
    <r>
      <rPr>
        <sz val="10"/>
        <rFont val="Arial"/>
        <family val="2"/>
      </rPr>
      <t>? Have any clean energy project been approved for construction?</t>
    </r>
  </si>
  <si>
    <t>Select YES or NO in the dropdown on the right.  If YES, fill out or update Table 1 below:</t>
  </si>
  <si>
    <t>Table 1
Expedited Permitting Projects During Reporting Year (Please add rows as required)</t>
  </si>
  <si>
    <t xml:space="preserve">Click here to view a sample version of this table. </t>
  </si>
  <si>
    <t>PROJECT NAME</t>
  </si>
  <si>
    <r>
      <t>Type</t>
    </r>
    <r>
      <rPr>
        <sz val="10"/>
        <rFont val="Arial"/>
        <family val="2"/>
      </rPr>
      <t xml:space="preserve"> (Generation (Capacity), R&amp;D, and/or Manufacturing)</t>
    </r>
  </si>
  <si>
    <t>As-of-right designated location</t>
  </si>
  <si>
    <t>Applicant</t>
  </si>
  <si>
    <t>Project Description</t>
  </si>
  <si>
    <t>Date Submitted</t>
  </si>
  <si>
    <t>Decision Date</t>
  </si>
  <si>
    <t>To insert additional rows, select this row, right-click, and select "Insert."</t>
  </si>
  <si>
    <t>Click here to return to Table 1</t>
  </si>
  <si>
    <r>
      <t xml:space="preserve">Table 1: </t>
    </r>
    <r>
      <rPr>
        <b/>
        <i/>
        <sz val="11"/>
        <color indexed="10"/>
        <rFont val="Arial"/>
        <family val="2"/>
      </rPr>
      <t xml:space="preserve">SAMPLE </t>
    </r>
    <r>
      <rPr>
        <b/>
        <sz val="11"/>
        <color indexed="10"/>
        <rFont val="Arial"/>
        <family val="2"/>
      </rPr>
      <t xml:space="preserve">Expedited Permitting Projects </t>
    </r>
  </si>
  <si>
    <t>Hilltop Wind</t>
  </si>
  <si>
    <t>Renewable Energy (wind) 9 MW</t>
  </si>
  <si>
    <t>landfill</t>
  </si>
  <si>
    <t>Peak Performance, LLC.</t>
  </si>
  <si>
    <t>Six 1.5 MW wind turbines on 16 acres of land</t>
  </si>
  <si>
    <t>Project approved</t>
  </si>
  <si>
    <t>Criterion 3 Instructions: Complete Steps 1-7 Below</t>
  </si>
  <si>
    <t>1. Read and complete all questions below.</t>
  </si>
  <si>
    <t>2. Complete Table 2: Progress</t>
  </si>
  <si>
    <t>Go to Table 2</t>
  </si>
  <si>
    <t xml:space="preserve">Fuel use from all vehicles, including those characterized as exempt AND non-exempt under Criterion 4, must be included. </t>
  </si>
  <si>
    <t>Renewable Energy is a fuel source and the amount of renewable energy consumed by the Green Community must be included.</t>
  </si>
  <si>
    <t>If you are using MEI. note that there is a report available (entitled Annual Report Table 2). This contains the data you need to enter into Table 2 . Please review the data in MEI and, if accurate, enter it into Table 2, located 3 tabs to the right. Note also that if you click on the "years" down arrow on that MEI report, you can choose which year is your baseline year.</t>
  </si>
  <si>
    <t>Regional School District</t>
  </si>
  <si>
    <t>Does the community include energy from a Regional School District in their total energy consumption?</t>
  </si>
  <si>
    <t>3. Complete Table 3: Energy Use (NON-MEI Users)</t>
  </si>
  <si>
    <t>Go to Table 3</t>
  </si>
  <si>
    <t>Does the community use MassEnergyInsight (MEI) to provide data for Table 2?</t>
  </si>
  <si>
    <t>4. Complete Table 4: Energy Conservation Measures (ECMs)</t>
  </si>
  <si>
    <t>Go to Table 4</t>
  </si>
  <si>
    <t>Does the community use an Energy Management Services (EMS) Agreement?</t>
  </si>
  <si>
    <t>5. Complete Table 5: Renewable Energy Projects</t>
  </si>
  <si>
    <t>Go to Table 5</t>
  </si>
  <si>
    <r>
      <t>Update your</t>
    </r>
    <r>
      <rPr>
        <b/>
        <sz val="10"/>
        <color rgb="FFFF0000"/>
        <rFont val="Arial"/>
        <family val="2"/>
      </rPr>
      <t xml:space="preserve"> conventionally net-metered (aka "behind the meter")</t>
    </r>
    <r>
      <rPr>
        <sz val="10"/>
        <rFont val="Arial"/>
        <family val="2"/>
      </rPr>
      <t xml:space="preserve"> RE projects in Table 5 by: 1) changing any status dates, and 2) adding any new RE projects.</t>
    </r>
  </si>
  <si>
    <t>Does your Green Community use any energy produced by renewable energy within your community? For example, solar PV systems installed on school or municipal buildings and the building uses the electricity generated, or a biomass boiler installed in a municipal building . Please select YES or NO in the dropdown on the right. if YES, complete Table 5 and be sure to include the renewable energy consumed in the building's MassEnergyInsight account or whatever energy tracking tool your community uses</t>
  </si>
  <si>
    <t>6. Provide a Narrative</t>
  </si>
  <si>
    <r>
      <t>Provide a brief narrative explaining changes seen and what is anticipated for the next year. Any notes on successes or challenges are welcome. Also include changes in building operating hours as well as building use, and/or significant changes in municipal fleet operations.</t>
    </r>
    <r>
      <rPr>
        <sz val="10"/>
        <color rgb="FFFF0000"/>
        <rFont val="Arial"/>
        <family val="2"/>
      </rPr>
      <t xml:space="preserve"> </t>
    </r>
    <r>
      <rPr>
        <b/>
        <sz val="10"/>
        <rFont val="Arial"/>
        <family val="2"/>
      </rPr>
      <t>Identify</t>
    </r>
    <r>
      <rPr>
        <b/>
        <sz val="10"/>
        <color rgb="FFFF0000"/>
        <rFont val="Arial"/>
        <family val="2"/>
      </rPr>
      <t xml:space="preserve"> top 3 buildings in terms of energy consumption </t>
    </r>
    <r>
      <rPr>
        <b/>
        <sz val="10"/>
        <rFont val="Arial"/>
        <family val="2"/>
      </rPr>
      <t>and note how efficient these buildings are by reporting their kBtu/sf numbers. MEI users can find this information by looking at the "Buildings to Target" report; provide a brief statement addressing change in the past year and, if applicable, describe plans for improving building performance next year</t>
    </r>
  </si>
  <si>
    <r>
      <rPr>
        <b/>
        <i/>
        <sz val="10"/>
        <rFont val="Arial"/>
        <family val="2"/>
      </rPr>
      <t xml:space="preserve">Sample Narrative: </t>
    </r>
    <r>
      <rPr>
        <i/>
        <sz val="10"/>
        <rFont val="Arial"/>
        <family val="2"/>
      </rPr>
      <t>Our buildings have a 12 percent decrease in energy use and the vehicles have a 4 percent reduction.  We are also intending to implement a large retrofit at the drinking water treatment plant this year that should yield a significant level of savings. We are seeing an uptick in energy use in our library, now that it open 10 more hours a week. Our top 3 energy-using buildings are our high school (68 EUI), middle school (88 EUI) and town hall (78 EUI). Energy use in all three buildings has been fairly consistent over the past year. The middle school boiler has reached the end of useful life and is scheduled to be replaced in 2 years. We have implemented projects in the Town Hall and would have expected larger savings. We are investigating this.</t>
    </r>
  </si>
  <si>
    <t>7. Building Stock Changes</t>
  </si>
  <si>
    <t>INSTRUCTIONS on how to calculate your prorated energy use for building stock changes</t>
  </si>
  <si>
    <t>USE THIS CALCULATOR FOR ALL BUILDING STOCK CHANGES</t>
  </si>
  <si>
    <t>Building Stock Changes Calculator</t>
  </si>
  <si>
    <t>Enter the name of the building in the appropriate cell, e.g. change "BUILDING ONE" to "High School".  Name should match the name in MEI.</t>
  </si>
  <si>
    <r>
      <t xml:space="preserve">If NEW BUILDING, enter the </t>
    </r>
    <r>
      <rPr>
        <b/>
        <u/>
        <sz val="10"/>
        <rFont val="Arial"/>
        <family val="2"/>
      </rPr>
      <t>OLD BUILDING'S</t>
    </r>
    <r>
      <rPr>
        <b/>
        <sz val="10"/>
        <rFont val="Arial"/>
        <family val="2"/>
      </rPr>
      <t xml:space="preserve"> sq. footage, if ADDITION, enter the building's sq. footage </t>
    </r>
    <r>
      <rPr>
        <b/>
        <u/>
        <sz val="10"/>
        <rFont val="Arial"/>
        <family val="2"/>
      </rPr>
      <t>BEFORE</t>
    </r>
    <r>
      <rPr>
        <b/>
        <sz val="10"/>
        <rFont val="Arial"/>
        <family val="2"/>
      </rPr>
      <t xml:space="preserve"> the addition</t>
    </r>
  </si>
  <si>
    <r>
      <t xml:space="preserve">If NEW BUILDING, enter the </t>
    </r>
    <r>
      <rPr>
        <b/>
        <u/>
        <sz val="10"/>
        <rFont val="Arial"/>
        <family val="2"/>
      </rPr>
      <t>NEW BUILDING'S</t>
    </r>
    <r>
      <rPr>
        <b/>
        <sz val="10"/>
        <rFont val="Arial"/>
        <family val="2"/>
      </rPr>
      <t xml:space="preserve"> sq. footage, if ADDITION, enter the building's sq. footage </t>
    </r>
    <r>
      <rPr>
        <b/>
        <u/>
        <sz val="10"/>
        <rFont val="Arial"/>
        <family val="2"/>
      </rPr>
      <t>AFTER</t>
    </r>
    <r>
      <rPr>
        <b/>
        <sz val="10"/>
        <rFont val="Arial"/>
        <family val="2"/>
      </rPr>
      <t xml:space="preserve"> the addition</t>
    </r>
  </si>
  <si>
    <t>THIS COLUMN WILL POPULATE                      % of energy to include</t>
  </si>
  <si>
    <r>
      <rPr>
        <b/>
        <u/>
        <sz val="10"/>
        <color rgb="FFFF0000"/>
        <rFont val="Arial"/>
        <family val="2"/>
      </rPr>
      <t>Non Weather-Normalized</t>
    </r>
    <r>
      <rPr>
        <b/>
        <sz val="10"/>
        <rFont val="Arial"/>
        <family val="2"/>
      </rPr>
      <t xml:space="preserve"> energy use (MMBTU) - this can be found in </t>
    </r>
    <r>
      <rPr>
        <b/>
        <i/>
        <sz val="10"/>
        <rFont val="Arial"/>
        <family val="2"/>
      </rPr>
      <t>MassEnergyInsight  - Energy Reduction Plan Guidance Table 3 (MMBtu)</t>
    </r>
  </si>
  <si>
    <r>
      <t xml:space="preserve">If </t>
    </r>
    <r>
      <rPr>
        <b/>
        <u/>
        <sz val="10"/>
        <rFont val="Arial"/>
        <family val="2"/>
      </rPr>
      <t>NEW BUILDING</t>
    </r>
    <r>
      <rPr>
        <b/>
        <sz val="10"/>
        <rFont val="Arial"/>
        <family val="2"/>
      </rPr>
      <t xml:space="preserve"> - enter the number 12.  If </t>
    </r>
    <r>
      <rPr>
        <b/>
        <u/>
        <sz val="10"/>
        <rFont val="Arial"/>
        <family val="2"/>
      </rPr>
      <t>ADDITION</t>
    </r>
    <r>
      <rPr>
        <b/>
        <sz val="10"/>
        <rFont val="Arial"/>
        <family val="2"/>
      </rPr>
      <t>, enter the # of months the addition was online during the reporting yr.?</t>
    </r>
  </si>
  <si>
    <r>
      <rPr>
        <b/>
        <u/>
        <sz val="10"/>
        <color rgb="FFFF0000"/>
        <rFont val="Arial"/>
        <family val="2"/>
      </rPr>
      <t xml:space="preserve">Non Weather-Normalized </t>
    </r>
    <r>
      <rPr>
        <b/>
        <sz val="10"/>
        <rFont val="Arial"/>
        <family val="2"/>
      </rPr>
      <t xml:space="preserve">Prorated energy use (MMBTU) - </t>
    </r>
  </si>
  <si>
    <r>
      <rPr>
        <b/>
        <u/>
        <sz val="10"/>
        <color rgb="FF0070C0"/>
        <rFont val="Arial"/>
        <family val="2"/>
      </rPr>
      <t>Weather-Normalized</t>
    </r>
    <r>
      <rPr>
        <b/>
        <sz val="10"/>
        <rFont val="Arial"/>
        <family val="2"/>
      </rPr>
      <t xml:space="preserve"> energy use (MMBTU) - This can be found in </t>
    </r>
    <r>
      <rPr>
        <b/>
        <i/>
        <sz val="10"/>
        <rFont val="Arial"/>
        <family val="2"/>
      </rPr>
      <t>MassEnergyInsight - Annual Building Energy Use - Weather Normalized</t>
    </r>
  </si>
  <si>
    <r>
      <rPr>
        <b/>
        <u/>
        <sz val="10"/>
        <color rgb="FF0070C0"/>
        <rFont val="Arial"/>
        <family val="2"/>
      </rPr>
      <t xml:space="preserve">Weather Normalized </t>
    </r>
    <r>
      <rPr>
        <b/>
        <sz val="10"/>
        <rFont val="Arial"/>
        <family val="2"/>
      </rPr>
      <t xml:space="preserve">Prorated energy use (MMBTU) </t>
    </r>
  </si>
  <si>
    <r>
      <t xml:space="preserve">Total </t>
    </r>
    <r>
      <rPr>
        <b/>
        <u/>
        <sz val="10"/>
        <color rgb="FFFF0000"/>
        <rFont val="Arial"/>
        <family val="2"/>
      </rPr>
      <t xml:space="preserve">Non-Weather Normalized Energy </t>
    </r>
    <r>
      <rPr>
        <b/>
        <sz val="10"/>
        <rFont val="Arial"/>
        <family val="2"/>
      </rPr>
      <t>Use</t>
    </r>
  </si>
  <si>
    <r>
      <t xml:space="preserve">Total Prorated </t>
    </r>
    <r>
      <rPr>
        <b/>
        <u/>
        <sz val="10"/>
        <color rgb="FFFF0000"/>
        <rFont val="Arial"/>
        <family val="2"/>
      </rPr>
      <t xml:space="preserve">Non-Weather Normalized </t>
    </r>
    <r>
      <rPr>
        <b/>
        <sz val="10"/>
        <rFont val="Arial"/>
        <family val="2"/>
      </rPr>
      <t>Energy Use</t>
    </r>
  </si>
  <si>
    <r>
      <t xml:space="preserve">Difference to be used to adjust </t>
    </r>
    <r>
      <rPr>
        <b/>
        <u/>
        <sz val="10"/>
        <color rgb="FFFF0000"/>
        <rFont val="Arial"/>
        <family val="2"/>
      </rPr>
      <t>Non-Weather-Normalized</t>
    </r>
    <r>
      <rPr>
        <b/>
        <sz val="10"/>
        <rFont val="Arial"/>
        <family val="2"/>
      </rPr>
      <t xml:space="preserve"> total  - This will populate the apropriate cell in Table 2 - Progress</t>
    </r>
  </si>
  <si>
    <r>
      <t xml:space="preserve">Total </t>
    </r>
    <r>
      <rPr>
        <b/>
        <u/>
        <sz val="10"/>
        <color rgb="FF0070C0"/>
        <rFont val="Arial"/>
        <family val="2"/>
      </rPr>
      <t>Weather-Normalized</t>
    </r>
    <r>
      <rPr>
        <b/>
        <sz val="10"/>
        <rFont val="Arial"/>
        <family val="2"/>
      </rPr>
      <t xml:space="preserve"> Energy Use</t>
    </r>
  </si>
  <si>
    <r>
      <t xml:space="preserve">Total Prorated </t>
    </r>
    <r>
      <rPr>
        <b/>
        <u/>
        <sz val="10"/>
        <color rgb="FF0070C0"/>
        <rFont val="Arial"/>
        <family val="2"/>
      </rPr>
      <t>Weather-Normalized Energy</t>
    </r>
    <r>
      <rPr>
        <b/>
        <sz val="10"/>
        <rFont val="Arial"/>
        <family val="2"/>
      </rPr>
      <t xml:space="preserve"> Use</t>
    </r>
  </si>
  <si>
    <r>
      <t xml:space="preserve">Difference to be used to adjust </t>
    </r>
    <r>
      <rPr>
        <b/>
        <u/>
        <sz val="10"/>
        <color rgb="FF0070C0"/>
        <rFont val="Arial"/>
        <family val="2"/>
      </rPr>
      <t>Weather-Normalized</t>
    </r>
    <r>
      <rPr>
        <b/>
        <sz val="10"/>
        <rFont val="Arial"/>
        <family val="2"/>
      </rPr>
      <t xml:space="preserve"> total  This will populate the apropriate cell in Table 2 - Progress</t>
    </r>
  </si>
  <si>
    <t>BUILDING TWO</t>
  </si>
  <si>
    <t>BUILDING THREE</t>
  </si>
  <si>
    <t>BUILDING FOUR</t>
  </si>
  <si>
    <t>BUILDING FIVE</t>
  </si>
  <si>
    <t>Criterion 3 Step 2: Complete Table 2 - Progress</t>
  </si>
  <si>
    <t>Table 2: Timeline of Annual Municipal Energy Use</t>
  </si>
  <si>
    <t>Baseline MMBtu</t>
  </si>
  <si>
    <t>2018 MMBtu</t>
  </si>
  <si>
    <t>2019 MMBtu</t>
  </si>
  <si>
    <t>2020 MMBtu</t>
  </si>
  <si>
    <t>For Most Recent Year: Change vs. Baseline (%)</t>
  </si>
  <si>
    <t>Null</t>
  </si>
  <si>
    <t>Buildings</t>
  </si>
  <si>
    <t>Open Space</t>
  </si>
  <si>
    <t>Street &amp; Traffic Lights</t>
  </si>
  <si>
    <t>Vehicles</t>
  </si>
  <si>
    <t>Water/Sewer</t>
  </si>
  <si>
    <t>Building Stock Change Adjustment</t>
  </si>
  <si>
    <t>Regional School Prorated</t>
  </si>
  <si>
    <t>TOTAL ENERGY CONSUMPTION   (NO Weather Normalization)</t>
  </si>
  <si>
    <t>Weather Normalized Consumption (without building stock adjustment)</t>
  </si>
  <si>
    <t>Building Stock Change Adjustment (weather - normalized)</t>
  </si>
  <si>
    <t>Regional School Prorated (weather-normalized)</t>
  </si>
  <si>
    <t>TOTAL ENERGY CONSUMPTION    (Weather-Normalized)</t>
  </si>
  <si>
    <t>Criterion 3 Step 3: Complete Table 3 OR use MEI (NOTE:  provide a separate table each for your baseline year and reporting year</t>
  </si>
  <si>
    <t>Select Plan Year:</t>
  </si>
  <si>
    <t>&lt;Select Year&gt;</t>
  </si>
  <si>
    <t xml:space="preserve">NOTE: IF USING MASSENERGYINSIGHT, there is NO need to complete this table. </t>
  </si>
  <si>
    <t>Please enter "0" for any fuels not used</t>
  </si>
  <si>
    <t xml:space="preserve"> </t>
  </si>
  <si>
    <t>Electricity</t>
  </si>
  <si>
    <t>Natural Gas</t>
  </si>
  <si>
    <t>#2 Distillate Fuel Oil</t>
  </si>
  <si>
    <t>Propane</t>
  </si>
  <si>
    <t>Gasoline</t>
  </si>
  <si>
    <t>Diesel</t>
  </si>
  <si>
    <t>Electric Renewable Energy</t>
  </si>
  <si>
    <t>Thermal Renewable Energy</t>
  </si>
  <si>
    <t>Total MMBtu</t>
  </si>
  <si>
    <t>kWh</t>
  </si>
  <si>
    <t>MMBtu</t>
  </si>
  <si>
    <t>Therms</t>
  </si>
  <si>
    <t>Gallons</t>
  </si>
  <si>
    <t>School</t>
  </si>
  <si>
    <t>Town Hall</t>
  </si>
  <si>
    <t>Police Station</t>
  </si>
  <si>
    <t>SUBTOTAL FOR BUILDINGS</t>
  </si>
  <si>
    <t>Drinking Water/Wastewater Treatment Plant</t>
  </si>
  <si>
    <t>Pumping in Aggregate</t>
  </si>
  <si>
    <t>Open Space*</t>
  </si>
  <si>
    <t>Vehicles in Aggregate</t>
  </si>
  <si>
    <t>Street and Traffic Lights in Aggregate</t>
  </si>
  <si>
    <t>TOTAL ENERGY CONSUMPTION</t>
  </si>
  <si>
    <t xml:space="preserve">     </t>
  </si>
  <si>
    <t>For use in next Table 4 - ECMs</t>
  </si>
  <si>
    <t>Project Type</t>
  </si>
  <si>
    <t>Definition/Includes:</t>
  </si>
  <si>
    <t>Behav &amp; Training</t>
  </si>
  <si>
    <t>Behavioral programs, building operator training, etc.</t>
  </si>
  <si>
    <t>Building Control</t>
  </si>
  <si>
    <t>HVAC controls, energy management systems (NO vending misers)</t>
  </si>
  <si>
    <r>
      <t>Exterior Lighting</t>
    </r>
    <r>
      <rPr>
        <sz val="14"/>
        <rFont val="Calibri"/>
        <family val="2"/>
      </rPr>
      <t xml:space="preserve"> </t>
    </r>
  </si>
  <si>
    <t>Streetlights, traffic lights, parking lots/garages, exterior lighting</t>
  </si>
  <si>
    <t>Interior Lighting</t>
  </si>
  <si>
    <t>Interior lighting &amp; controls</t>
  </si>
  <si>
    <t>Fuel Conversion</t>
  </si>
  <si>
    <t>Conversion from one heating fuel type to another (often oil to natural gas)</t>
  </si>
  <si>
    <t>Hot Water</t>
  </si>
  <si>
    <t>Hot water heaters, pipe insulation, showerheads, faucet aerators, efficient dish washers</t>
  </si>
  <si>
    <t>HVAC</t>
  </si>
  <si>
    <t>Heating or cooling equipment, economizers, destratification fans, dehumidifiers, duct sealing or insulation (NO VFDs)</t>
  </si>
  <si>
    <t>Pump/Motor/Drive</t>
  </si>
  <si>
    <t>Pumps, motors, variable frequency/speed drives</t>
  </si>
  <si>
    <t>Refrigeration</t>
  </si>
  <si>
    <t>Refrigeration and controls, including vending misers</t>
  </si>
  <si>
    <t>Retrocommission</t>
  </si>
  <si>
    <t>Retrocommissioning and submetering projects</t>
  </si>
  <si>
    <t>Energy-savings vehicles &amp; their operations: GPS, anti-idling retrofits, routing software, big belly trash collectors, hybrid or EV purchases</t>
  </si>
  <si>
    <t>Weatherization</t>
  </si>
  <si>
    <t>Insulation, air-sealing, windows, etc.</t>
  </si>
  <si>
    <t>Comprehensive</t>
  </si>
  <si>
    <t>Large-scale retrofit of the entire building or multiple systems. Examples: building renovations, lighting + HVAC + EMS</t>
  </si>
  <si>
    <t>Other</t>
  </si>
  <si>
    <t>Use this only if types above do not fit</t>
  </si>
  <si>
    <t>Status Type</t>
  </si>
  <si>
    <t>Complete</t>
  </si>
  <si>
    <t>Project is complete &amp; operational.</t>
  </si>
  <si>
    <t>Active</t>
  </si>
  <si>
    <t>Project is actively underway - procurement completed and in any stage of construction.</t>
  </si>
  <si>
    <t>Planned</t>
  </si>
  <si>
    <t>Identified project that will be pursued; may be in budgeting or procurement.</t>
  </si>
  <si>
    <t>Abandoned</t>
  </si>
  <si>
    <t>Project is not completed and will no longer be pursued.</t>
  </si>
  <si>
    <t xml:space="preserve">Criterion 3 Step 4: Update Table 4 - ECMs </t>
  </si>
  <si>
    <t>Click here to view a sample version of this table</t>
  </si>
  <si>
    <t>Table 4
Energy Conservation Measures Data</t>
  </si>
  <si>
    <t xml:space="preserve">ECMs - Update projects that were listed as "planned" or "active" in last Annual Report or Energy Reduction Plan and add new projects. </t>
  </si>
  <si>
    <t>Energy Data</t>
  </si>
  <si>
    <t>Financial Data</t>
  </si>
  <si>
    <t>Reference Data</t>
  </si>
  <si>
    <t>Category         (select one from drop-down)</t>
  </si>
  <si>
    <t>Building/Site Name</t>
  </si>
  <si>
    <t>Energy Conservation 
Measure Name</t>
  </si>
  <si>
    <t>ECM Type (select one from drop-down)</t>
  </si>
  <si>
    <t>Status (select one from drop-down)</t>
  </si>
  <si>
    <t>Status Date (Month -year completed or planned)</t>
  </si>
  <si>
    <t>Projected 
Annual Electricity Savings (kWh)</t>
  </si>
  <si>
    <t>Projected 
Annual Natural Gas Savings (therms)</t>
  </si>
  <si>
    <t>Projected 
Annual Oil Savings (gallons)</t>
  </si>
  <si>
    <t>Projected Annual Propane Savings (gallons)</t>
  </si>
  <si>
    <t>Projected 
Annual Gasoline Savings (gallons)</t>
  </si>
  <si>
    <t>Projected Annual Diesel Savings (gallons)</t>
  </si>
  <si>
    <t>Projected Annual Cost Savings ($)</t>
  </si>
  <si>
    <t>Total Installed Cost ($)</t>
  </si>
  <si>
    <t>Green Community Grant ($)</t>
  </si>
  <si>
    <t>Utility Incentives ($)</t>
  </si>
  <si>
    <t>Net Cost ($)</t>
  </si>
  <si>
    <t>Funding Source(s) for Net Costs</t>
  </si>
  <si>
    <t>Source for Projected Savings</t>
  </si>
  <si>
    <t>TOTAL 
Projected Savings</t>
  </si>
  <si>
    <t>TOTAL MMBtu SAVINGS</t>
  </si>
  <si>
    <r>
      <rPr>
        <b/>
        <i/>
        <sz val="10"/>
        <color indexed="10"/>
        <rFont val="Arial"/>
        <family val="2"/>
      </rPr>
      <t>SAMPLE</t>
    </r>
    <r>
      <rPr>
        <b/>
        <sz val="10"/>
        <color indexed="10"/>
        <rFont val="Arial"/>
        <family val="2"/>
      </rPr>
      <t xml:space="preserve"> Criterion 3 Step 4: Complete Table 4 - ECMs</t>
    </r>
  </si>
  <si>
    <t>Click here to return to Table 4</t>
  </si>
  <si>
    <r>
      <t xml:space="preserve">Table 4
</t>
    </r>
    <r>
      <rPr>
        <b/>
        <i/>
        <sz val="10"/>
        <color indexed="10"/>
        <rFont val="Arial"/>
        <family val="2"/>
      </rPr>
      <t xml:space="preserve">SAMPLE </t>
    </r>
    <r>
      <rPr>
        <b/>
        <sz val="10"/>
        <color indexed="10"/>
        <rFont val="Arial"/>
        <family val="2"/>
      </rPr>
      <t>Energy Conservation Measures Data</t>
    </r>
  </si>
  <si>
    <t>ECMs</t>
  </si>
  <si>
    <t>Category</t>
  </si>
  <si>
    <t>Green School</t>
  </si>
  <si>
    <t>Lighting Retrofit</t>
  </si>
  <si>
    <t>Town Capital Plan FY2011</t>
  </si>
  <si>
    <t>http://www.energystar.gov/ia/business/downloads/BP_Checklist.pdf</t>
  </si>
  <si>
    <t>Air Sealing</t>
  </si>
  <si>
    <t>N/A</t>
  </si>
  <si>
    <t>A-Z Energy Audit, 2008</t>
  </si>
  <si>
    <t>New Boiler</t>
  </si>
  <si>
    <t>Boilers-to-Go Quote, 2009</t>
  </si>
  <si>
    <t>Street Lights</t>
  </si>
  <si>
    <t>LED Conversion</t>
  </si>
  <si>
    <t xml:space="preserve">Exterior Lighting </t>
  </si>
  <si>
    <t>Town Operating Budget FY2011</t>
  </si>
  <si>
    <t>LED Signals Today Quote, 2009</t>
  </si>
  <si>
    <t>Drinking Water Treatment Plant</t>
  </si>
  <si>
    <t>2 Variable Speed Drives</t>
  </si>
  <si>
    <t>Town Bond FY2016</t>
  </si>
  <si>
    <t>Energy Masters Technical Study, 2010</t>
  </si>
  <si>
    <t>Anti-idling retrofit for 2 police cruisers</t>
  </si>
  <si>
    <t>Town Operating Budget FY2018</t>
  </si>
  <si>
    <t>green.autoblog.com</t>
  </si>
  <si>
    <t>GUIDANCE FOR REPORTING RENEWABLE ENERGY GENERATION AS ENERGY CONSUMPTION</t>
  </si>
  <si>
    <t xml:space="preserve">The following scenarios apply to renewable energy systems  that are interconnected to the electric grid. It is possible that more than one scenario applies to the same renewable energy system; for example, a solar PV system may generate less energy than its building uses in the winter (scenario 1), but generate more energy than its building uses in the summer (scenario 2). Ideally, calculations should be done for each month.  </t>
  </si>
  <si>
    <t>1) Do you have Conventional Net Metering?</t>
  </si>
  <si>
    <t>If yes, see RE Scenario 1 and RE Scenario 2</t>
  </si>
  <si>
    <t>2) Do you have Virtual Net Metering?</t>
  </si>
  <si>
    <t>If yes, see RE Scenario 3</t>
  </si>
  <si>
    <t>3) Do you live in an MLP?</t>
  </si>
  <si>
    <t>If yes, see RE Scenario 4</t>
  </si>
  <si>
    <t>RE Scenario 1: Conventional Net Metering, System Generation &lt; Building Use = Importing Power</t>
  </si>
  <si>
    <t>If the building uses more electricity than the RE system generates, your electric meter registers postitive. The building is importing power from the electric company. Then a Green Community should add in the amount of RE generation. This means the total building energy use = total kWh on electric bill + kWh generated by RE.</t>
  </si>
  <si>
    <t>For example:</t>
  </si>
  <si>
    <t>Total Grid Electricity on electric bill (kWh):               3,000</t>
  </si>
  <si>
    <t>Total Net Metering Credits on electric bill (kWh):            0</t>
  </si>
  <si>
    <t>Total generated by the RE system (kWh):                +7,000</t>
  </si>
  <si>
    <t xml:space="preserve">Total building use (kWh):                                               10,000 </t>
  </si>
  <si>
    <r>
      <rPr>
        <i/>
        <sz val="12"/>
        <rFont val="Calibri"/>
        <family val="2"/>
      </rPr>
      <t>Find and Calculate:</t>
    </r>
    <r>
      <rPr>
        <sz val="12"/>
        <rFont val="Calibri"/>
        <family val="2"/>
      </rPr>
      <t xml:space="preserve"> Find the kWh generated each month from your RE system.  Contact your Regional Coordinator if you are having trouble finding the kWh generated each month.</t>
    </r>
  </si>
  <si>
    <r>
      <rPr>
        <i/>
        <sz val="12"/>
        <rFont val="Calibri"/>
        <family val="2"/>
      </rPr>
      <t xml:space="preserve">Action: </t>
    </r>
    <r>
      <rPr>
        <sz val="12"/>
        <rFont val="Calibri"/>
        <family val="2"/>
      </rPr>
      <t>Load the building renewable energy usage into MassEnergyInsight. Create a separate account for each RE system at each building. Load the RE generation for each month by going to “Upload a Spreadsheet.” Choose “solar electric” or “wind power.” Upload your usage data. If not using MassEnergyInsight, report to DOER in your Annual Report .</t>
    </r>
  </si>
  <si>
    <t>RE Scenario 2: Conventional Net Metering, System Generation &gt; Building Use = Exporting Power</t>
  </si>
  <si>
    <t xml:space="preserve">If the RE system generates more electricity than the building uses your electric meter registers negative. The RE system is exporting power to the electric company. Then a Green Community should not add in the amount of generation over and above what the building used. This means the total building energy use = kWh generated by RE – kWh credited to electric bill for net metering. </t>
  </si>
  <si>
    <r>
      <t xml:space="preserve">** Contact your Regional Coordinator if you have </t>
    </r>
    <r>
      <rPr>
        <b/>
        <sz val="12"/>
        <rFont val="Calibri"/>
        <family val="2"/>
      </rPr>
      <t>negative use</t>
    </r>
    <r>
      <rPr>
        <sz val="12"/>
        <rFont val="Calibri"/>
        <family val="2"/>
      </rPr>
      <t xml:space="preserve"> on your electric bill **</t>
    </r>
  </si>
  <si>
    <t>Total Grid Electricity on electric bill (kWh):                      0</t>
  </si>
  <si>
    <t>Total Net Metering Credits on electric bill (kWh):    -1,000</t>
  </si>
  <si>
    <t>Total generated by the RE system (kWh):                  +7,000</t>
  </si>
  <si>
    <t xml:space="preserve">Total building use (kWh):                                                   6,000 </t>
  </si>
  <si>
    <t>For help locating net metering credits on your electric bill go to:</t>
  </si>
  <si>
    <t xml:space="preserve">https://www.nationalgridus.com/non_html/MA_DG_First_Bill.pdf </t>
  </si>
  <si>
    <t>https://www.eversource.com/Content/ema-e/residential/programs-services/interconnections-net-metering/net-metering-faq</t>
  </si>
  <si>
    <r>
      <rPr>
        <i/>
        <sz val="12"/>
        <rFont val="Calibri"/>
        <family val="2"/>
      </rPr>
      <t xml:space="preserve">Find and Calculate: </t>
    </r>
    <r>
      <rPr>
        <sz val="12"/>
        <rFont val="Calibri"/>
        <family val="2"/>
      </rPr>
      <t>Find the total kWh generated each month from your RE system. Find the net metering credits in kWh applied to your electric bill each month. Subtract the net metering credits in kWh from the total RE generated. This is your building’s NET use of renewable energy generated. Contact your Regional Coordinator if you are having trouble finding the KWh generated and credited each month.</t>
    </r>
  </si>
  <si>
    <r>
      <rPr>
        <i/>
        <sz val="12"/>
        <rFont val="Calibri"/>
        <family val="2"/>
      </rPr>
      <t>Action:</t>
    </r>
    <r>
      <rPr>
        <sz val="12"/>
        <rFont val="Calibri"/>
        <family val="2"/>
      </rPr>
      <t xml:space="preserve"> Load the </t>
    </r>
    <r>
      <rPr>
        <b/>
        <sz val="12"/>
        <rFont val="Calibri"/>
        <family val="2"/>
      </rPr>
      <t xml:space="preserve">NET </t>
    </r>
    <r>
      <rPr>
        <sz val="12"/>
        <rFont val="Calibri"/>
        <family val="2"/>
      </rPr>
      <t>building renewable energy usage into MassEnergyInsight. Create a separate account for each RE system for each building. Load the RE generation for each month by going to “Upload a Spreadsheet.” Choose “solar electric” or “wind power.” Upload your usage data. Or, report to DOER in your Annual Report.</t>
    </r>
  </si>
  <si>
    <t>RE Scenario 3: Virtual Net Metering</t>
  </si>
  <si>
    <t>If a building is virtually net metered, in which the RE system has its own separate meter but the financial credits are applied to a different building, then the actual amount of electricity use of the building will be on its electric bill. For example, a municipality may have built a solar PV array on a closed landfill. The PV system has a meter but does not link to any buildings that consume a substantial amount of energy. (The PV system will be linked to its inverter and perhaps to a small shed or security lights.)  The financial value of the electricity that is generated by the landfill solar PV system is applied to an account for electric use at the town hall and to an account for electric use at the library. The electric bills for the town hall and library thus will show the amount of electricity that is actually used by those buildings, but only charge for the amount of electricity above and beyond what was generated by the solar PV system on the landfill. See DOER’s Net Metering page for more details on credits for renewable generation.</t>
  </si>
  <si>
    <r>
      <rPr>
        <i/>
        <sz val="12"/>
        <rFont val="Calibri"/>
        <family val="2"/>
      </rPr>
      <t xml:space="preserve">Information Needed: </t>
    </r>
    <r>
      <rPr>
        <sz val="12"/>
        <rFont val="Calibri"/>
        <family val="2"/>
      </rPr>
      <t>Written confirmation of virtual net metering documenting there is a separate meter used for the RE system with only a small load-side usage. The load-side usage should be reported to MassEnergyInsight under Scenario 2 above.</t>
    </r>
  </si>
  <si>
    <r>
      <rPr>
        <i/>
        <sz val="12"/>
        <rFont val="Calibri"/>
        <family val="2"/>
      </rPr>
      <t>Action:</t>
    </r>
    <r>
      <rPr>
        <sz val="12"/>
        <rFont val="Calibri"/>
        <family val="2"/>
      </rPr>
      <t xml:space="preserve"> Generation does not impact baseline and should NOT be loaded into MassEnergyInsight. Provide information needed as noted above. Report load-side usage under Scenario 2 above.</t>
    </r>
  </si>
  <si>
    <t>RE Scenario 4: RE Generation to Control Rates (for MLPs)</t>
  </si>
  <si>
    <t>If an MLP uses its RE generation to control its system-wide rates and does not use the RE for a specific municipal building, either directly or through virtual net metering, then the amount of RE generation does not need to be included.</t>
  </si>
  <si>
    <r>
      <rPr>
        <i/>
        <sz val="12"/>
        <rFont val="Calibri"/>
        <family val="2"/>
      </rPr>
      <t xml:space="preserve">Information Needed: </t>
    </r>
    <r>
      <rPr>
        <sz val="12"/>
        <rFont val="Calibri"/>
        <family val="2"/>
      </rPr>
      <t>Written confirmation of RE generation for system-wide benefit with no virtual net metering. The load-side usage should be reported to MassEnergyInsight under Scenario 2 above.</t>
    </r>
  </si>
  <si>
    <r>
      <rPr>
        <i/>
        <sz val="12"/>
        <rFont val="Calibri"/>
        <family val="2"/>
      </rPr>
      <t xml:space="preserve">Action: </t>
    </r>
    <r>
      <rPr>
        <sz val="12"/>
        <rFont val="Calibri"/>
        <family val="2"/>
      </rPr>
      <t>Generation does not impact baseline and should NOT be loaded into MassEnergyInsight. Provide information needed as noted above.</t>
    </r>
  </si>
  <si>
    <t>Please refer to Guidance on Reporting Renewable Energy Generation and Only Include Projects with Conventional</t>
  </si>
  <si>
    <t>Net Metering (scenario 1 and scenario 2) in Table 5</t>
  </si>
  <si>
    <t>Criterion 3 Step 5: Complete Table 5 - Renewable Energy</t>
  </si>
  <si>
    <t>Status and Timing</t>
  </si>
  <si>
    <t>Electricity Data</t>
  </si>
  <si>
    <t>Thermal Energy Data 
(representing consumption)</t>
  </si>
  <si>
    <t>Reference Info</t>
  </si>
  <si>
    <t>Project Name</t>
  </si>
  <si>
    <t>Resource Type (select from drop down)</t>
  </si>
  <si>
    <t>Site Type 
(select from drop down)</t>
  </si>
  <si>
    <t>Town Procuring Energy Output? (select from drop down)</t>
  </si>
  <si>
    <t>Project Status 
(select from drop down)</t>
  </si>
  <si>
    <t>Year Completed  (i.e., 2016)</t>
  </si>
  <si>
    <t>Size of System (kW, DC)</t>
  </si>
  <si>
    <t>Annual Electricity Generation (kWh)</t>
  </si>
  <si>
    <t>Annual Natural Gas (therms)</t>
  </si>
  <si>
    <t>Annual Wood  (cords)</t>
  </si>
  <si>
    <t>Annual Wood  (pellets)</t>
  </si>
  <si>
    <t>Annual Cost Savings ($)</t>
  </si>
  <si>
    <t>Other Grant ($)</t>
  </si>
  <si>
    <r>
      <rPr>
        <b/>
        <i/>
        <sz val="11"/>
        <color indexed="10"/>
        <rFont val="Calibri"/>
        <family val="2"/>
      </rPr>
      <t>Sample Data</t>
    </r>
    <r>
      <rPr>
        <i/>
        <sz val="11"/>
        <color indexed="10"/>
        <rFont val="Calibri"/>
        <family val="2"/>
      </rPr>
      <t xml:space="preserve"> - City Hall </t>
    </r>
  </si>
  <si>
    <t>Solar PV, Roof</t>
  </si>
  <si>
    <t>Municipal Building</t>
  </si>
  <si>
    <t>Y - conventional net metered</t>
  </si>
  <si>
    <t>City Capital Funds</t>
  </si>
  <si>
    <t>Soltrex online PV systems portfolio dashboard</t>
  </si>
  <si>
    <t>TOTALS</t>
  </si>
  <si>
    <t>TOTAL RENEWABLE ENERGY PRODUCTION (MMBtu)</t>
  </si>
  <si>
    <t>Criterion 4 - Purchase Fuel Efficient Vehicles</t>
  </si>
  <si>
    <t>Since your last Annual Report OR Green Communities Designation (if first Annual Report) has your municipality…</t>
  </si>
  <si>
    <t>NOTE: Inter-departmental transfers must comply with MPG requirements of Fuel Efficiency Policy</t>
  </si>
  <si>
    <r>
      <rPr>
        <b/>
        <sz val="10"/>
        <rFont val="Arial"/>
        <family val="2"/>
      </rPr>
      <t>If the answer to #1 and/or #2 above is "yes",  Please provde a list of all vehicles</t>
    </r>
    <r>
      <rPr>
        <sz val="10"/>
        <rFont val="Arial"/>
        <family val="2"/>
      </rPr>
      <t xml:space="preserve"> (Both exempt and non-exempt) for ALL departments, including schools (as appropriate),  that were acquired, retired and/or transferred in since your last Annual Report or Designation Application (if first Annual Report).  Please do not report any exempt off-road vehicles, trailers, etc.   In the spreadsheet on the following tab (Crit 4 -Table 6),  1) List in the top table all vehicles acquired or transferred since the last annual report, noting which vehicles they are replacing, and/or 2) List all vehicles  removed from the municipal fleet in the bottom table</t>
    </r>
  </si>
  <si>
    <t>Estimate annual fuel savings from each new technology or policy in the yellow box below. Also attach any new vehicle policies and technologies adopted by the municipality to this annual report.</t>
  </si>
  <si>
    <t>9) Does the community meet Criterion 4 through alternative compliance?</t>
  </si>
  <si>
    <t xml:space="preserve">Changes in Vehicle Inventory </t>
  </si>
  <si>
    <t>List new acquisitions in this table</t>
  </si>
  <si>
    <t>Make</t>
  </si>
  <si>
    <t>Model</t>
  </si>
  <si>
    <t>Market Class</t>
  </si>
  <si>
    <t>Model Year</t>
  </si>
  <si>
    <t>Month/Year acquired</t>
  </si>
  <si>
    <t>Drive System: 2WD, 4WD, AWD</t>
  </si>
  <si>
    <t>&gt; 8500 pounds?  (Y or N or NA)</t>
  </si>
  <si>
    <t>Is this a new acquisition?</t>
  </si>
  <si>
    <t>&lt;Select One&gt;</t>
  </si>
  <si>
    <t>&lt;Select Drive System&gt;</t>
  </si>
  <si>
    <t>List vehicle retirements in this table</t>
  </si>
  <si>
    <t>Month/Year Purchased</t>
  </si>
  <si>
    <t>Was this vehicle removed from the fleet?</t>
  </si>
  <si>
    <t>N</t>
  </si>
  <si>
    <t>Y</t>
  </si>
  <si>
    <t>Ford</t>
  </si>
  <si>
    <t>Focus</t>
  </si>
  <si>
    <t>2WD</t>
  </si>
  <si>
    <t>NE</t>
  </si>
  <si>
    <t>Inspector/Assessor shared car</t>
  </si>
  <si>
    <t>YES</t>
  </si>
  <si>
    <t>Crown Victoria in row 42</t>
  </si>
  <si>
    <t>Explorer</t>
  </si>
  <si>
    <t>AWD</t>
  </si>
  <si>
    <t>E</t>
  </si>
  <si>
    <t>Police CRUISER</t>
  </si>
  <si>
    <t>Taurus in row 43</t>
  </si>
  <si>
    <t>F550</t>
  </si>
  <si>
    <t>4WD</t>
  </si>
  <si>
    <t>DPW</t>
  </si>
  <si>
    <t>chevy dump row 44</t>
  </si>
  <si>
    <t>Cheverlet</t>
  </si>
  <si>
    <t>Silverado</t>
  </si>
  <si>
    <t>Parks and Recreation</t>
  </si>
  <si>
    <t>Transferred</t>
  </si>
  <si>
    <t>Equinox</t>
  </si>
  <si>
    <t>Engineer</t>
  </si>
  <si>
    <t>Chevy Silverado (above)</t>
  </si>
  <si>
    <t>Crown Victoria</t>
  </si>
  <si>
    <t>Assesor</t>
  </si>
  <si>
    <t>Taurus</t>
  </si>
  <si>
    <t>police cruiser</t>
  </si>
  <si>
    <t>Chevy</t>
  </si>
  <si>
    <t>dump</t>
  </si>
  <si>
    <t>Criterion 5 - Minimize Life-Cycle Costs in New Construction</t>
  </si>
  <si>
    <t>How many occupancy permits were issued for new commericial construction over 100,000 sq.ft.?</t>
  </si>
  <si>
    <t>&lt;select one&gt;</t>
  </si>
  <si>
    <r>
      <rPr>
        <b/>
        <sz val="11"/>
        <rFont val="Arial"/>
        <family val="2"/>
      </rPr>
      <t>Please provide in the space below any anecdotal information about your community's experience with the Stretch Code</t>
    </r>
    <r>
      <rPr>
        <sz val="11"/>
        <rFont val="Arial"/>
        <family val="2"/>
      </rPr>
      <t xml:space="preserve"> (e.g. local banks loaning more to people purchasing stretch code homes, satisfied homeowners, frustrated builders, etc.).</t>
    </r>
  </si>
  <si>
    <t>DOER will access HERS scores reported to ResNet  to ensure compliance</t>
  </si>
  <si>
    <t>Other Notes</t>
  </si>
  <si>
    <r>
      <rPr>
        <b/>
        <sz val="10"/>
        <rFont val="Arial"/>
        <family val="2"/>
      </rPr>
      <t>Please provide in the space below any information about additional measures taken by the community that are consistent with its status as a designated Green Community</t>
    </r>
    <r>
      <rPr>
        <sz val="10"/>
        <rFont val="Arial"/>
        <family val="2"/>
      </rPr>
      <t>(e.g. additional as-of-right siting put in place since designation for renewable or alternative energy generation, R&amp;D, or Manufacturing facilities).</t>
    </r>
  </si>
  <si>
    <r>
      <rPr>
        <b/>
        <sz val="10"/>
        <rFont val="Arial"/>
        <family val="2"/>
      </rPr>
      <t xml:space="preserve">Please provide in the space below what percentage of your municipality's electricity consumption is supported by renewable energy generation? </t>
    </r>
    <r>
      <rPr>
        <sz val="10"/>
        <rFont val="Arial"/>
        <family val="2"/>
      </rPr>
      <t>Of this percentage, how much of this is onsite generation? How much of this is net metering? How much of this is through the purchase of Renewable Energy Certificates (RECs)?</t>
    </r>
  </si>
  <si>
    <t>blank</t>
  </si>
  <si>
    <t>&lt;Select NR or C&gt;</t>
  </si>
  <si>
    <t>R&amp;D</t>
  </si>
  <si>
    <t>43D</t>
  </si>
  <si>
    <t>Yes per designation ap</t>
  </si>
  <si>
    <t>NR</t>
  </si>
  <si>
    <t>Market Class List</t>
  </si>
  <si>
    <t>Used for Emergency Response?</t>
  </si>
  <si>
    <t>MFR</t>
  </si>
  <si>
    <t>Local</t>
  </si>
  <si>
    <t>Yes per AR 2011</t>
  </si>
  <si>
    <t>NO</t>
  </si>
  <si>
    <t>RR</t>
  </si>
  <si>
    <t>C</t>
  </si>
  <si>
    <t>R&amp;D and MFR</t>
  </si>
  <si>
    <t>No per designation app</t>
  </si>
  <si>
    <t>NA</t>
  </si>
  <si>
    <t>Car</t>
  </si>
  <si>
    <t>R&amp;D &amp; MFR &amp; Solar</t>
  </si>
  <si>
    <t>Minivan or Van</t>
  </si>
  <si>
    <t>Generation; Solar</t>
  </si>
  <si>
    <t>Pickup Truck</t>
  </si>
  <si>
    <t>Generation; Wind</t>
  </si>
  <si>
    <t>Sport Utility Vehicle or SUV</t>
  </si>
  <si>
    <t>Generation; Solar &amp; Wind</t>
  </si>
  <si>
    <t>&lt;Select one&gt;</t>
  </si>
  <si>
    <t>Application under review</t>
  </si>
  <si>
    <t>FY2018</t>
  </si>
  <si>
    <t>Project denied</t>
  </si>
  <si>
    <t>FY2019</t>
  </si>
  <si>
    <t>FY2020</t>
  </si>
  <si>
    <t>Building stock change pw = DOER</t>
  </si>
  <si>
    <t>Calculator Worksheet pw = GC</t>
  </si>
  <si>
    <t>Resource.Type</t>
  </si>
  <si>
    <t>Site.Type</t>
  </si>
  <si>
    <t>Own.Generation/Site</t>
  </si>
  <si>
    <t>Procuring.Energy.Output</t>
  </si>
  <si>
    <t>Project.Status</t>
  </si>
  <si>
    <t>Table 6 pw= DOER</t>
  </si>
  <si>
    <t>Solar PV, Ground</t>
  </si>
  <si>
    <t>Y - virtually net metered</t>
  </si>
  <si>
    <t>Solar PV, Canopy</t>
  </si>
  <si>
    <t>Private Building</t>
  </si>
  <si>
    <t>Other tabs pw = GC</t>
  </si>
  <si>
    <t>Solar Thermal</t>
  </si>
  <si>
    <t>Water/Wastewater Plant</t>
  </si>
  <si>
    <t>CY2016</t>
  </si>
  <si>
    <t>Wind</t>
  </si>
  <si>
    <t>Brownfield - Landfill</t>
  </si>
  <si>
    <t>CY2017</t>
  </si>
  <si>
    <t>Wood, Boiler/Furnace</t>
  </si>
  <si>
    <t>Brownfield - Not landfill</t>
  </si>
  <si>
    <t>CY2018</t>
  </si>
  <si>
    <t>CHP, Gas</t>
  </si>
  <si>
    <t>Greenfield</t>
  </si>
  <si>
    <t>CY2019</t>
  </si>
  <si>
    <t>CHP, Wood</t>
  </si>
  <si>
    <t>Parking Lot</t>
  </si>
  <si>
    <t>Hydro</t>
  </si>
  <si>
    <t>Conversion Factors</t>
  </si>
  <si>
    <t>KWH of Electricity to MMBTU</t>
  </si>
  <si>
    <t>Therms to MMBTU</t>
  </si>
  <si>
    <t>Gallons of Fuel Oil to MMBTU</t>
  </si>
  <si>
    <t>Gallons of Propane to MMBTU</t>
  </si>
  <si>
    <t>Gallons of Gasoline to MMBTU</t>
  </si>
  <si>
    <t>Gallons of Diesel to MMBTU</t>
  </si>
  <si>
    <t>GHG Emissions Conversions</t>
  </si>
  <si>
    <t>kBtu Conversions</t>
  </si>
  <si>
    <t>Fuel</t>
  </si>
  <si>
    <t>CO2 Emissions Factor (lbs CO2/unit)</t>
  </si>
  <si>
    <t>CO2 Emissions Factor (metric tonnes CO2/unit)</t>
  </si>
  <si>
    <t>GHG Emissions Factor (lbs CO2e/unit)</t>
  </si>
  <si>
    <t>GHG Emissions Factor (Metric Tons CO2e/unit)</t>
  </si>
  <si>
    <t>Reference for GHG emissions</t>
  </si>
  <si>
    <t>Reference for CO2 emissions</t>
  </si>
  <si>
    <t>kBtu Conversion Factor</t>
  </si>
  <si>
    <t>Reference for kBtu conversion</t>
  </si>
  <si>
    <t>Grid Electricity CY2001</t>
  </si>
  <si>
    <t>MassDEP factor calculated CO2e</t>
  </si>
  <si>
    <t>MA-based combo from MassDEP based on GHG inventory</t>
  </si>
  <si>
    <t>http://www.eia.gov/totalenergy/data/annual/pdf/sec12.pdf</t>
  </si>
  <si>
    <t>Grid Electricity CY2002</t>
  </si>
  <si>
    <t>Grid Electricity CY2003</t>
  </si>
  <si>
    <t>Grid Electricity CY2004</t>
  </si>
  <si>
    <t>Grid Electricity CY2005</t>
  </si>
  <si>
    <t>Grid Electricity CY2006</t>
  </si>
  <si>
    <t>Grid Electricity CY2007</t>
  </si>
  <si>
    <t>Grid Electricity CY2008</t>
  </si>
  <si>
    <t>Grid Electricity CY2009</t>
  </si>
  <si>
    <t>Grid Electricity CY2010</t>
  </si>
  <si>
    <t>Grid Electricity CY2011</t>
  </si>
  <si>
    <t>Grid Electricity CY2012</t>
  </si>
  <si>
    <t>Grid Electricity CY2013</t>
  </si>
  <si>
    <t>Grid Electricity CY2014</t>
  </si>
  <si>
    <t>Grid Electricity FY2002</t>
  </si>
  <si>
    <t>Grid Electricity FY2003</t>
  </si>
  <si>
    <t>Grid Electricity FY2004</t>
  </si>
  <si>
    <t>Grid Electricity FY2005</t>
  </si>
  <si>
    <t>Grid Electricity FY2006</t>
  </si>
  <si>
    <t>Grid Electricity FY2007</t>
  </si>
  <si>
    <t>Grid Electricity FY2008</t>
  </si>
  <si>
    <t>Grid Electricity FY2009</t>
  </si>
  <si>
    <t>Grid Electricity FY2010</t>
  </si>
  <si>
    <t>Grid Electricity FY2011</t>
  </si>
  <si>
    <t>Grid Electricity FY2012</t>
  </si>
  <si>
    <t>Grid Electricity FY2013</t>
  </si>
  <si>
    <t>Grid Electricity FY2014</t>
  </si>
  <si>
    <t>Natural Gas (therms)</t>
  </si>
  <si>
    <t>http://www.energystar.gov/ia/business/evaluate_performance/Emissions_Supporting_Doc.pdf</t>
  </si>
  <si>
    <t>http://www.eia.gov/oiaf/1605/coefficients.html</t>
  </si>
  <si>
    <t>Natural Gas (CCF)</t>
  </si>
  <si>
    <t>calculated based off of 1 CCF=1.023 therms</t>
  </si>
  <si>
    <t>http://www.eia.gov/tools/faqs/faq.cfm?id=45&amp;t=8</t>
  </si>
  <si>
    <t>Oil #2/ Diesel for Buildings (gallons)</t>
  </si>
  <si>
    <t>Oil #4 (gallons)</t>
  </si>
  <si>
    <t>Oil #6 (gallons)</t>
  </si>
  <si>
    <t>On-Site CHP Electricity (kWh)</t>
  </si>
  <si>
    <t>On-Site Hydro (kWh)</t>
  </si>
  <si>
    <t>On-Site Solar PV Electricity (kWh)</t>
  </si>
  <si>
    <t>On-Site Wind Electricity (kWh)</t>
  </si>
  <si>
    <t>Electric Vehicles (kWh)</t>
  </si>
  <si>
    <t>same as Grid Electricity</t>
  </si>
  <si>
    <t>Diesel Vehicles (gallons)</t>
  </si>
  <si>
    <t>based on CO2 number, followed guidance from Sharon Webber (DEP) on non-CO2 emissions based on mobile sector of MA GHG emissions total</t>
  </si>
  <si>
    <t>E-85, Ethanol-85 (gallons)</t>
  </si>
  <si>
    <t>Gasoline (gallons)</t>
  </si>
  <si>
    <t>Propane (gallons)</t>
  </si>
  <si>
    <t>Propane (gallons) Vehicles</t>
  </si>
  <si>
    <t>Jet Fuel (gallons)</t>
  </si>
  <si>
    <t>Used Vegetable Oil</t>
  </si>
  <si>
    <t>http://www.theclimateregistry.org/downloads/2012/01/2012-Climate-Registry-Default-Emissions-Factors.pdf</t>
  </si>
  <si>
    <t>Biodiesel (B100) (gallons)</t>
  </si>
  <si>
    <t>Biodiesel (B20) (gallons)</t>
  </si>
  <si>
    <t>Calculated based on B100+diesel, did not round to give Bio credit</t>
  </si>
  <si>
    <t>Biodiesel (B5) (gallons)</t>
  </si>
  <si>
    <t>CNG (gallons)</t>
  </si>
  <si>
    <t>http://www.theclimateregistry.org/downloads/2013/01/2013-Climate-Registry-Default-Emissions-Factors.pdf; 1 Gallon Gasoline Equivalent = 126.67 SCF-  CNG is typically sold in GGE instead of SCF</t>
  </si>
  <si>
    <t>http://www.afdc.energy.gov/pdfs/afv_info.pdf</t>
  </si>
  <si>
    <t>LNG (gallons)</t>
  </si>
  <si>
    <t>http://www.theclimateregistry.org/downloads/2013/01/2013-Climate-Registry-Default-Emissions-Factors.pdf</t>
  </si>
  <si>
    <t>Purchased Steam (mlbs)</t>
  </si>
  <si>
    <t>EPA only calculated CO2e for district steam</t>
  </si>
  <si>
    <t>based on ave of Boston &amp; Cambridge calculated data T:\LBE\Agency-Campus Energy-GHG Tracking &amp; Reporting\LBE Database\Account Updates from Agency\Steam</t>
  </si>
  <si>
    <t>https://www.energystar.gov/ia/business/tools_resources/target_finder/help/Energy_Units_Conversion_Table.htm</t>
  </si>
  <si>
    <t>Coal (tons)</t>
  </si>
  <si>
    <t>Wood Pellets (tons)</t>
  </si>
  <si>
    <t>based upon guidance from Dwayne Breger &amp; Rob Rizzo</t>
  </si>
  <si>
    <t>www.eia.gov/neic/experts/heatcalc.xls</t>
  </si>
  <si>
    <t>Cord Wood (chord)</t>
  </si>
  <si>
    <r>
      <rPr>
        <b/>
        <sz val="11"/>
        <color indexed="8"/>
        <rFont val="Calibri"/>
        <family val="2"/>
      </rPr>
      <t>How to calculate Energy Use Intensity (EUI) for a building/s:</t>
    </r>
    <r>
      <rPr>
        <sz val="10"/>
        <rFont val="Arial"/>
        <family val="2"/>
      </rPr>
      <t xml:space="preserve"> add up all kBtu totals for all building/s energy consumption and divide by the building or site square footage.</t>
    </r>
  </si>
  <si>
    <t>Energy Efficiency Equivalencies</t>
  </si>
  <si>
    <t>Equivalency Factor (divide by factor)</t>
  </si>
  <si>
    <t>Reference to calculate equivalents</t>
  </si>
  <si>
    <t>Comments</t>
  </si>
  <si>
    <t>MA Homes powered by Electricity per year (kWh) CY2012</t>
  </si>
  <si>
    <t>US EIA 2011 data for Mass., with corroboration from MassDOER on kWh and therms; DOER data for heating oil</t>
  </si>
  <si>
    <t>MA Homes heated by Natural Gas per year (therms) CY2012</t>
  </si>
  <si>
    <t>MA Homes heated by Oil per year (gallons) CY2012</t>
  </si>
  <si>
    <t>MA Homes total energy use (MMBtu) CY2012</t>
  </si>
  <si>
    <t>MA Homes powered by Electricity per year (kWh) CY2011</t>
  </si>
  <si>
    <t>US EIA 2010 data for Mass., with corroboration from MassDOER on kWh and therms; DOER data for heating oil</t>
  </si>
  <si>
    <t>MA Homes heated by Natural Gas per year (therms) CY2011</t>
  </si>
  <si>
    <t>MA Homes heated by Oil per year (gallons) CY2011</t>
  </si>
  <si>
    <t>MA Homes total energy use (MMBtu) CY2011</t>
  </si>
  <si>
    <t>U.S. Vehicle GHG emissions per year</t>
  </si>
  <si>
    <t>http://www.epa.gov/cleanenergy/energy-resources/refs.html#vehicles</t>
  </si>
  <si>
    <t>Formula allows for MA specific number in the future if interested</t>
  </si>
  <si>
    <t>If colored green, please edit upon release of updated numbers</t>
  </si>
  <si>
    <t>Terms of Art</t>
  </si>
  <si>
    <t>Use:</t>
  </si>
  <si>
    <t>Instead of:</t>
  </si>
  <si>
    <t>Clean Energy</t>
  </si>
  <si>
    <t>Green</t>
  </si>
  <si>
    <t>Combined Heat and Power (CHP)</t>
  </si>
  <si>
    <t>Co-generation</t>
  </si>
  <si>
    <t>Wind Turbines</t>
  </si>
  <si>
    <t>Windmills</t>
  </si>
  <si>
    <t>Ground Source Heat Pumps (GSHP)</t>
  </si>
  <si>
    <t>Geothermal</t>
  </si>
  <si>
    <t>Massachusetts Homes for electricity and gas equivalences</t>
  </si>
  <si>
    <t xml:space="preserve">National car equivalencies </t>
  </si>
  <si>
    <t>MA Capacity Factors</t>
  </si>
  <si>
    <t>Renewable</t>
  </si>
  <si>
    <t>Factor</t>
  </si>
  <si>
    <t>Reference</t>
  </si>
  <si>
    <t>Solar Capacity</t>
  </si>
  <si>
    <t>Class I Regulations</t>
  </si>
  <si>
    <t>Wind Capacity, land-based</t>
  </si>
  <si>
    <t>Wind Capacity, offshore</t>
  </si>
  <si>
    <t>Unit</t>
  </si>
  <si>
    <t>Factor (Multiply by factor)</t>
  </si>
  <si>
    <t>Resulting Unit</t>
  </si>
  <si>
    <t>short ton</t>
  </si>
  <si>
    <t>metric ton</t>
  </si>
  <si>
    <t>Megawatt (MW)</t>
  </si>
  <si>
    <t>kilowatts (kW)</t>
  </si>
  <si>
    <t>kilowatt hours (kWh)</t>
  </si>
  <si>
    <t>Gigawatt (GW)</t>
  </si>
  <si>
    <t>therm</t>
  </si>
  <si>
    <t>kBtu</t>
  </si>
  <si>
    <t>Btu</t>
  </si>
  <si>
    <t>Petroleum (barrel (bbl))</t>
  </si>
  <si>
    <t>U.S. gallons (gal)</t>
  </si>
  <si>
    <t>Coal (1 short ton)</t>
  </si>
  <si>
    <t>pounds (lb)</t>
  </si>
  <si>
    <t>Coal (1 long ton)</t>
  </si>
  <si>
    <t>Coal (1 metric ton)</t>
  </si>
  <si>
    <t>kilograms (kg)</t>
  </si>
  <si>
    <t>wood (1 cord (cd))</t>
  </si>
  <si>
    <t>short tons</t>
  </si>
  <si>
    <t>cubic feet (ft3)</t>
  </si>
  <si>
    <t>CO2 (1 metric ton)</t>
  </si>
  <si>
    <t>Examples</t>
  </si>
  <si>
    <t>Guidance</t>
  </si>
  <si>
    <t>Community input required</t>
  </si>
  <si>
    <t>3) Installed an electric vehicle charging station during the reporting period?</t>
  </si>
  <si>
    <t>Annual Report Tab Coloring Key</t>
  </si>
  <si>
    <t>Overall Annual Report Status</t>
  </si>
  <si>
    <t>4) Installed idle-reduction technology on any vehicles during the reporting period?</t>
  </si>
  <si>
    <t>5) Implemented anti-idling technology and/or campaigns during the reporting period?</t>
  </si>
  <si>
    <t>6) Implemented a driving monitoring system that records miles driven and/or fuel consumption during the reporting period?</t>
  </si>
  <si>
    <t>7) Implement a fuel use reporting system for operators on fuel efficiency during the reporting period?</t>
  </si>
  <si>
    <t>8) Implement any other policies and/or technologies not listed above during the reporting period?</t>
  </si>
  <si>
    <t xml:space="preserve">Update projects that were listed as "planned" or "active" in last Annual Report or Energy Reduction Plan and add new projects. Include all ECMs, not only ECMs funded by Green Communities grants. </t>
  </si>
  <si>
    <t>If the vehicle was transferred, what vehicle did it replace? Please reference vehicle listed in "Vehicles Retired" table below. If transferred from another department, indicate which one.</t>
  </si>
  <si>
    <t>Market Class (choose from drop-down list)</t>
  </si>
  <si>
    <t>Drive System 
(choose from drop-down list)</t>
  </si>
  <si>
    <t>&gt; 8500 pounds?  
(choose from drop-down list)</t>
  </si>
  <si>
    <r>
      <t xml:space="preserve">COMBINED MPG Rating
</t>
    </r>
    <r>
      <rPr>
        <b/>
        <sz val="10"/>
        <color theme="4"/>
        <rFont val="Arial"/>
        <family val="2"/>
      </rPr>
      <t>(Click here for fueleconomy.gov)</t>
    </r>
  </si>
  <si>
    <t>Used for Emergency Response?
(choose from drop-down list)</t>
  </si>
  <si>
    <t>ADMIN ONLY</t>
  </si>
  <si>
    <t>Exempt or Non-Exempt?</t>
  </si>
  <si>
    <t>Meets GC Fuel Efficiency Rating?</t>
  </si>
  <si>
    <t>Vehicle Function before retirement
(i.e. DPW, Police, Fire)</t>
  </si>
  <si>
    <t>Transferred from Engineer Dept.</t>
  </si>
  <si>
    <t>Vehicle Function
(i.e. DPW, Police, Inspector)</t>
  </si>
  <si>
    <t>ADMIN ONY
Exempt or Non-Exempt?</t>
  </si>
  <si>
    <r>
      <t xml:space="preserve">Provide a list of all vehicles (both exempt and non-exempt) for ALL departments, including schools, that were acquired, retired, and/or transferred to other departments since your last Annual Report or Designation Application (if this is your community's first Annual Report). </t>
    </r>
    <r>
      <rPr>
        <b/>
        <sz val="12"/>
        <color rgb="FFFF0000"/>
        <rFont val="Arial"/>
        <family val="2"/>
      </rPr>
      <t xml:space="preserve"> Please do not report any exempt off-road vehicles, trailers, streetsweepers, etc</t>
    </r>
    <r>
      <rPr>
        <b/>
        <sz val="12"/>
        <rFont val="Arial"/>
        <family val="2"/>
      </rPr>
      <t>.   
NOTE: For the purposes of the program, municipalities must use the EPA combined fuel economy estimate listed at FuelEconomy.gov for vehicles with a GVWR &lt; 8,500 pounds. If the vehicle is not listed on FuelEconomy.gov then list N/A for MPG rating.</t>
    </r>
  </si>
  <si>
    <t>New Vehicle; no replacement</t>
  </si>
  <si>
    <r>
      <t xml:space="preserve">1) In order for a municipality to maintain its Green Community Designation and be eligible for the next available Green Communities Competitive Grant, reports must be submitted </t>
    </r>
    <r>
      <rPr>
        <b/>
        <i/>
        <sz val="10"/>
        <rFont val="Arial"/>
        <family val="2"/>
      </rPr>
      <t>no later than 5:00 PM November 6, 2020 for the reporting period July 1, 2019 – June 30, 2020</t>
    </r>
    <r>
      <rPr>
        <sz val="10"/>
        <rFont val="Arial"/>
        <family val="2"/>
      </rPr>
      <t xml:space="preserve">                                                   </t>
    </r>
  </si>
  <si>
    <r>
      <rPr>
        <b/>
        <sz val="11"/>
        <rFont val="Arial"/>
        <family val="2"/>
      </rPr>
      <t>REGULATIONS (zoning &amp; permitting):</t>
    </r>
    <r>
      <rPr>
        <sz val="10"/>
        <rFont val="Arial"/>
        <family val="2"/>
      </rPr>
      <t xml:space="preserve">
1) Since your last Annual Report, or Green Communities Designation Application (if first Annual Report) </t>
    </r>
    <r>
      <rPr>
        <b/>
        <sz val="10"/>
        <rFont val="Arial"/>
        <family val="2"/>
      </rPr>
      <t>Have any significant changes been made to the zoning district(s) for which the community received Green Communities designation?</t>
    </r>
    <r>
      <rPr>
        <sz val="10"/>
        <rFont val="Arial"/>
        <family val="2"/>
      </rPr>
      <t xml:space="preserve">  Significant changes, such as changes to the geographic extent of the district, allowed uses, and dimensional requirements, would impact the ability to construct a qualifying clean energy use in the district.  Overlay districts, such as water protection districts that impose special permitting requirements, count as significant changes.
</t>
    </r>
    <r>
      <rPr>
        <b/>
        <sz val="10"/>
        <rFont val="Arial"/>
        <family val="2"/>
      </rPr>
      <t>If yes,</t>
    </r>
    <r>
      <rPr>
        <sz val="10"/>
        <color indexed="10"/>
        <rFont val="Arial"/>
        <family val="2"/>
      </rPr>
      <t xml:space="preserve"> </t>
    </r>
    <r>
      <rPr>
        <sz val="10"/>
        <rFont val="Arial"/>
        <family val="2"/>
      </rPr>
      <t xml:space="preserve">submit the same documentation required for designation for CR1 to verify that you still meet the requirements (applicable sections of the zoning by-law, definitions, as well as a revised zoning map.)
</t>
    </r>
    <r>
      <rPr>
        <b/>
        <sz val="10"/>
        <rFont val="Arial"/>
        <family val="2"/>
      </rPr>
      <t xml:space="preserve">Select YES or NO in the dropdown on the right. </t>
    </r>
  </si>
  <si>
    <r>
      <t xml:space="preserve">Complete Table 2 for </t>
    </r>
    <r>
      <rPr>
        <b/>
        <sz val="10"/>
        <rFont val="Arial"/>
        <family val="2"/>
      </rPr>
      <t>baseline year and reporting year</t>
    </r>
    <r>
      <rPr>
        <sz val="10"/>
        <rFont val="Arial"/>
        <family val="2"/>
      </rPr>
      <t xml:space="preserve">, located 3 tabs to the right. ALL categories are required, with the exception of open space. </t>
    </r>
  </si>
  <si>
    <r>
      <t xml:space="preserve">Update your ECMs in Table 4 by: 1) listing measures that were </t>
    </r>
    <r>
      <rPr>
        <b/>
        <sz val="10"/>
        <rFont val="Arial"/>
        <family val="2"/>
      </rPr>
      <t>completed since you submitted last Annual Report or Green Communities Designation as applicable,</t>
    </r>
    <r>
      <rPr>
        <sz val="10"/>
        <rFont val="Arial"/>
        <family val="2"/>
      </rPr>
      <t xml:space="preserve"> 2) listing new measures planned or in progress, 3) and providing an ECM type in Column F. All ECMs should be included in Table 4, </t>
    </r>
    <r>
      <rPr>
        <b/>
        <sz val="10"/>
        <rFont val="Arial"/>
        <family val="2"/>
      </rPr>
      <t>NOT</t>
    </r>
    <r>
      <rPr>
        <sz val="10"/>
        <rFont val="Arial"/>
        <family val="2"/>
      </rPr>
      <t xml:space="preserve"> only ECMs funded by Green Communities grants. </t>
    </r>
  </si>
  <si>
    <r>
      <t xml:space="preserve">This Building Stock Changes Calculator is for both </t>
    </r>
    <r>
      <rPr>
        <b/>
        <sz val="14"/>
        <rFont val="Arial"/>
        <family val="2"/>
      </rPr>
      <t>new buildings</t>
    </r>
    <r>
      <rPr>
        <sz val="14"/>
        <rFont val="Arial"/>
        <family val="2"/>
      </rPr>
      <t xml:space="preserve"> and </t>
    </r>
    <r>
      <rPr>
        <b/>
        <sz val="14"/>
        <rFont val="Arial"/>
        <family val="2"/>
      </rPr>
      <t>building additions</t>
    </r>
    <r>
      <rPr>
        <sz val="14"/>
        <rFont val="Arial"/>
        <family val="2"/>
      </rPr>
      <t xml:space="preserve">.  Different information is to be entered depending on whether you are entering data for a new building or an addition, so make sure to follow the instructions in Row 11 for each column.  You are only required to enter information into the yellow cells in the table.  The green cells in the table will populate when the relevant information is entered into the yellow cells.  The orange cells in the worksheet (columns M and P) are the numbers that will be used to adjust the Total Energy Use for the year, and will automatically populate in Table 2 Progress (the worksheet on the next tab to the right).  Starting with the current reporting year, enter any new buildings and building additions that occurred.  Start with Building One, if you have more than one applicable building in a given year then move on to Building Two etc.  Please change the generic "BUILDING ONE" label to the actual name of the building (e.g. Senior Center, High School, Police Station).  </t>
    </r>
  </si>
  <si>
    <r>
      <rPr>
        <b/>
        <sz val="14"/>
        <color rgb="FFFF0000"/>
        <rFont val="Arial"/>
        <family val="2"/>
      </rPr>
      <t xml:space="preserve">All building stock changes that have occured since the baseline year should be reported here. </t>
    </r>
    <r>
      <rPr>
        <b/>
        <sz val="11"/>
        <rFont val="Arial"/>
        <family val="2"/>
      </rPr>
      <t xml:space="preserve">
</t>
    </r>
    <r>
      <rPr>
        <sz val="12"/>
        <rFont val="Arial"/>
        <family val="2"/>
      </rPr>
      <t xml:space="preserve">Please keep track of the prorated use for every year you are reporting on. If you submitted an Annual Report last year, you only need to report on this current reporting year.  If this is your community's first Annual Report, enter the building information for this reporting year and past years as needed.  If your community did not submit an Annual Report last year, report on last years' building stock changes as needed.                                       </t>
    </r>
    <r>
      <rPr>
        <b/>
        <sz val="12"/>
        <rFont val="Arial"/>
        <family val="2"/>
      </rPr>
      <t xml:space="preserve">        </t>
    </r>
    <r>
      <rPr>
        <b/>
        <sz val="11"/>
        <rFont val="Arial"/>
        <family val="2"/>
      </rPr>
      <t xml:space="preserve">                                                                                                     </t>
    </r>
  </si>
  <si>
    <r>
      <t xml:space="preserve">Table 2 Instructions: 1) Enter your community's baseline year (including whether it's a Fiscal Year or Calendar Year); 2) Enter total MMBtus per category (Rows 10-15) for the </t>
    </r>
    <r>
      <rPr>
        <b/>
        <u/>
        <sz val="11"/>
        <rFont val="Arial"/>
        <family val="2"/>
      </rPr>
      <t>baseline year and the current reporting year</t>
    </r>
    <r>
      <rPr>
        <b/>
        <sz val="11"/>
        <rFont val="Arial"/>
        <family val="2"/>
      </rPr>
      <t>.  In MassEnergyInsight, this information is available in the "Annual Report Table 2" report; 3) If this is your community's first Annual Report, enter the energy consumption for past years as needed; 4) If your community did not submit an Annual Report last year, enter energy data for 2019 and 2020; 5) If your baseline includes a proportion of energy consumed by a regional school district, provide the pro-rated energy use in Row 18 for non weather-normalized use and Row 22 for weather-normalized use. Attach a worksheet (add a tab to this workbook) listing the buildings, their total energy use, and calculations on how you arrived at their prorated use;  6) If your community needs to pro-rate energy use due to building stock changes, use the calculator provided on the tab to the left and enter the resulting numbers in Row 17 for non weather-normalized data, and in Rows 21 for weather-normalized data.</t>
    </r>
  </si>
  <si>
    <t>WEATHER NORMALIZED DATA -  DOER is requiring Green Communities to assess their progress using weather-normalized data through a DOER-approved weather normalization methodology. Qualifying methods include use of MassEnergyInsight or Energy Star Portfolio Manager. Please contact your Regional Coordinator for assistance if you use a different energy-tracking tool. Enter weather-normalized total energy consumption  in Table 2, Row 20. In MassEnergyInsight, this information is available in the "Annual Report Table 2" report</t>
  </si>
  <si>
    <t>If the vehicle is a replacement, what vehicle did it replace? Please reference vehicle listed in "Vehicles Retired" table below. If transferred from another department, indicate which one.</t>
  </si>
  <si>
    <r>
      <t xml:space="preserve">Provide a list of all vehicles (both exempt and non-exempt) for ALL departments, including schools, that were acquired, retired, and/or transferred to other departments since your last Annual Report or Designation Application (if this is your community's first Annual Report). </t>
    </r>
    <r>
      <rPr>
        <b/>
        <sz val="14"/>
        <color rgb="FFFF0000"/>
        <rFont val="Arial"/>
        <family val="2"/>
      </rPr>
      <t xml:space="preserve"> Please do not report any exempt off-road vehicles, trailers, streetsweepers, etc</t>
    </r>
    <r>
      <rPr>
        <b/>
        <sz val="14"/>
        <rFont val="Arial"/>
        <family val="2"/>
      </rPr>
      <t>.   
NOTE: For the purposes of the program, municipalities must use the EPA combined fuel economy estimate listed at FuelEconomy.gov for vehicles with a GVWR &lt; 8,500 pounds. If the vehicle is not listed on FuelEconomy.gov then list N/A for MPG rating.</t>
    </r>
  </si>
  <si>
    <r>
      <t xml:space="preserve">COMBINED MPG Rating
</t>
    </r>
    <r>
      <rPr>
        <b/>
        <sz val="12"/>
        <color theme="4"/>
        <rFont val="Arial"/>
        <family val="2"/>
      </rPr>
      <t>(Click here for fueleconomy.gov)</t>
    </r>
  </si>
  <si>
    <r>
      <t xml:space="preserve">Please describe any building stock changes that have occurred since your last Annual Report, or Designation Appliction (if first Annual Report). Include the year and whether any changes are a replacement, addition, removal or renovation. </t>
    </r>
    <r>
      <rPr>
        <sz val="10"/>
        <color rgb="FFC00000"/>
        <rFont val="Arial"/>
        <family val="2"/>
      </rPr>
      <t xml:space="preserve">The adjustments to energy usage should be entered on Table 2, Lines 16 and 20. You may use the Building Stock Changes Calculator provided. </t>
    </r>
  </si>
  <si>
    <t>Have any building stock changes occurred since your last Annual Report or Designation (if first Annual Report)?</t>
  </si>
  <si>
    <t>If the community replaced an exempt or non-exempt vehicle during FY fill out Table 6 (Acquistions and Retirements)</t>
  </si>
  <si>
    <t xml:space="preserve">9) Review the "AR Compliance Checklist" tab and ensure that no items are missing. If any items cannot be provided please offer an explanation. </t>
  </si>
  <si>
    <t>Fred Davis</t>
  </si>
  <si>
    <t>Chair, Medfield Energy Committee</t>
  </si>
  <si>
    <t xml:space="preserve">Town of Medfield </t>
  </si>
  <si>
    <t>NARRATIVE: No changes were made in FY20.</t>
  </si>
  <si>
    <t>Blake Middle School</t>
  </si>
  <si>
    <t>Low-Flow Aerators and Showerheads, Spray Valve</t>
  </si>
  <si>
    <t>Winter 2021</t>
  </si>
  <si>
    <t> </t>
  </si>
  <si>
    <t>Rise Engineering (Appendix A1)</t>
  </si>
  <si>
    <t>Exterior LED</t>
  </si>
  <si>
    <t>Green Communities Grant</t>
  </si>
  <si>
    <t>Doer qurt report 1 may-jun 4th qut.docx</t>
  </si>
  <si>
    <t>All interior lighting (oringally only 200 Side Lighting)</t>
  </si>
  <si>
    <t>No cost to Town of Medfield</t>
  </si>
  <si>
    <t>Commonwealth Electrical Technologies</t>
  </si>
  <si>
    <t>Behavioral Based Measures</t>
  </si>
  <si>
    <t>Behavioral and Training</t>
  </si>
  <si>
    <t>Fall 2021</t>
  </si>
  <si>
    <t>Pay-for-Performance</t>
  </si>
  <si>
    <t>MAPC (Appendix D1)</t>
  </si>
  <si>
    <t>Spring 2018</t>
  </si>
  <si>
    <t>100-300 Side Lighting (consolidated with 200 Side lighting line item)</t>
  </si>
  <si>
    <t>New DHW Storage</t>
  </si>
  <si>
    <t>Summer 2022</t>
  </si>
  <si>
    <t>Roof Insulation</t>
  </si>
  <si>
    <t>Summer 2020</t>
  </si>
  <si>
    <t>Rise Engineering (Appendix A2)</t>
  </si>
  <si>
    <t>Council on Aging</t>
  </si>
  <si>
    <t>*COA parking Lights (presumed complete)</t>
  </si>
  <si>
    <t>Exterior Lighting</t>
  </si>
  <si>
    <t>Fall 2016</t>
  </si>
  <si>
    <t>Town Budget</t>
  </si>
  <si>
    <t>Town of Medfield</t>
  </si>
  <si>
    <t>COA Entrance</t>
  </si>
  <si>
    <t>Winter 2020</t>
  </si>
  <si>
    <t>*Interior Lighting (presumed complete)</t>
  </si>
  <si>
    <t>AECOM (Appendix B1)</t>
  </si>
  <si>
    <t>Dale Street Elementary School</t>
  </si>
  <si>
    <t>Rise Engineering (Appendix A3)</t>
  </si>
  <si>
    <t>All interior lighting (oringally only First Floor Lighting)</t>
  </si>
  <si>
    <t>Steam traps</t>
  </si>
  <si>
    <t>Rise Engineering</t>
  </si>
  <si>
    <t>Low-Flow Aerators and Spray Valve</t>
  </si>
  <si>
    <t>Rise Engineering (Appendix A4)</t>
  </si>
  <si>
    <t>2nd Floor Lighting (combined with 1st floor lighting line item)</t>
  </si>
  <si>
    <t>Medfield High School</t>
  </si>
  <si>
    <t>Fall 2020</t>
  </si>
  <si>
    <t>2nd Flr &amp; LL Lighting (consolidate with 1st floor lighting line item)</t>
  </si>
  <si>
    <t>Medfield Public Library</t>
  </si>
  <si>
    <t>*MPL Lighting (presumed complete)</t>
  </si>
  <si>
    <t>Town of Medfield (Appendix C1)</t>
  </si>
  <si>
    <t>Attic Air Sealing</t>
  </si>
  <si>
    <t>Rise Engineering (Appendix A7)</t>
  </si>
  <si>
    <t>Comptete</t>
  </si>
  <si>
    <t>Spring 2020</t>
  </si>
  <si>
    <t>AECOM (Appendix B2)</t>
  </si>
  <si>
    <t>Building Controls Installation</t>
  </si>
  <si>
    <t>Summer 2024</t>
  </si>
  <si>
    <t>Low-Flow Aerators</t>
  </si>
  <si>
    <t>Attic Insulation</t>
  </si>
  <si>
    <t>Pipe Insulation</t>
  </si>
  <si>
    <t>MPL Exterior Lighting</t>
  </si>
  <si>
    <t>Memorial Elementary School</t>
  </si>
  <si>
    <t>All interior lighting (oringally only Wings 1 &amp; 2 Lighting)</t>
  </si>
  <si>
    <t>System Upgrade and Retrocommissioning</t>
  </si>
  <si>
    <t>Winter 2022</t>
  </si>
  <si>
    <t>Wing 3 Lighting (consolidated with Wing 1/2 line item)</t>
  </si>
  <si>
    <t>Streetlights</t>
  </si>
  <si>
    <t>Fred Davis Corporation (Appendix E1)/ Project Estimate 032217</t>
  </si>
  <si>
    <t>Town Garage</t>
  </si>
  <si>
    <t>*Garage Controls (presumed complete)</t>
  </si>
  <si>
    <t xml:space="preserve">Complete </t>
  </si>
  <si>
    <t>TH Parking Lights</t>
  </si>
  <si>
    <t>Fall 2024</t>
  </si>
  <si>
    <t>Anti-Idling Policy</t>
  </si>
  <si>
    <t>Fleet Management Strategies</t>
  </si>
  <si>
    <t>Summer 2021</t>
  </si>
  <si>
    <t>TBD</t>
  </si>
  <si>
    <t>MAPC (Appendix D2)</t>
  </si>
  <si>
    <t>Wheelock Elementary School</t>
  </si>
  <si>
    <t>New Boilers (2)</t>
  </si>
  <si>
    <t>Summer 2016</t>
  </si>
  <si>
    <t>End-of-life replacement</t>
  </si>
  <si>
    <t>School Building Authority Grant</t>
  </si>
  <si>
    <t>Pfaff Recreation Center</t>
  </si>
  <si>
    <t>Lighting</t>
  </si>
  <si>
    <t>High School</t>
  </si>
  <si>
    <t>Lighting control</t>
  </si>
  <si>
    <t>FY2021</t>
  </si>
  <si>
    <t>Air Handling Units (replace/repair)</t>
  </si>
  <si>
    <t>FY2022</t>
  </si>
  <si>
    <t>Exterior door replacement</t>
  </si>
  <si>
    <t>Rooftop Units (RTU) Repair</t>
  </si>
  <si>
    <t>Replace Shut Off Valves</t>
  </si>
  <si>
    <t>Replace Shower Head</t>
  </si>
  <si>
    <t>Window repair</t>
  </si>
  <si>
    <t>FY2023</t>
  </si>
  <si>
    <t>Brick Façade Repair</t>
  </si>
  <si>
    <t>Envelope sealant replacement</t>
  </si>
  <si>
    <t>Window sealant replacement</t>
  </si>
  <si>
    <t>FY2025</t>
  </si>
  <si>
    <t>boiler replacement</t>
  </si>
  <si>
    <t>window weatherstripping</t>
  </si>
  <si>
    <t>FY2024</t>
  </si>
  <si>
    <t>Roof Top Units Repair</t>
  </si>
  <si>
    <t>40,00</t>
  </si>
  <si>
    <t>Replace HW heater</t>
  </si>
  <si>
    <t>Gym HVAC/Fan Coil Unit Replace,ent</t>
  </si>
  <si>
    <t>Replace windows at curtain wall café</t>
  </si>
  <si>
    <t>Replace sealants at Windows/Doors</t>
  </si>
  <si>
    <t>Brick Façade Repair Engineering</t>
  </si>
  <si>
    <t xml:space="preserve">brick façade repair </t>
  </si>
  <si>
    <t>Replace Tempering Valves</t>
  </si>
  <si>
    <t>Fy2024</t>
  </si>
  <si>
    <t>fan coil units (repair/replace)</t>
  </si>
  <si>
    <t>Hvac</t>
  </si>
  <si>
    <t>fy2021</t>
  </si>
  <si>
    <t>Exhaust Fan Replacement</t>
  </si>
  <si>
    <t>electrical upgrades</t>
  </si>
  <si>
    <t>Fy2022</t>
  </si>
  <si>
    <t>replace values to FanCoils Units</t>
  </si>
  <si>
    <t>hvac</t>
  </si>
  <si>
    <t>replace pneumatic temp controls</t>
  </si>
  <si>
    <t>Exterior Lighting Control System</t>
  </si>
  <si>
    <t>Replace Split Systems</t>
  </si>
  <si>
    <t>Johnson Controls BMS Upgrade</t>
  </si>
  <si>
    <t>Replace HW Heater and Shut Off Valves</t>
  </si>
  <si>
    <t>Exterior Envelope Façade Repairs</t>
  </si>
  <si>
    <t>Roof repairs</t>
  </si>
  <si>
    <t>town hall</t>
  </si>
  <si>
    <t>AHU (Air Handling Unity) repairs</t>
  </si>
  <si>
    <t>HW heater replacement</t>
  </si>
  <si>
    <t>Chillder Plant Recommissioning</t>
  </si>
  <si>
    <t>Exhaust Fan Repair</t>
  </si>
  <si>
    <t>Exterior Envelope Sealant Replacement</t>
  </si>
  <si>
    <t>Building Envelope Repair</t>
  </si>
  <si>
    <t>Library</t>
  </si>
  <si>
    <t>Brick Façade Engineering/Repair</t>
  </si>
  <si>
    <t>EPDM Roof Engineering/Repair</t>
  </si>
  <si>
    <t>Exterior Sealant Repair</t>
  </si>
  <si>
    <t>ATC Controls Upgrade</t>
  </si>
  <si>
    <t>WasterWater Treatment Plan</t>
  </si>
  <si>
    <t xml:space="preserve">Town Bond </t>
  </si>
  <si>
    <t xml:space="preserve">Stretch code is still in effect. Occupancy permits were given to 17 residential buildings and an apartment building with 16 units. </t>
  </si>
  <si>
    <t>FY</t>
  </si>
  <si>
    <t>F250</t>
  </si>
  <si>
    <t>Mack</t>
  </si>
  <si>
    <t>Pumper</t>
  </si>
  <si>
    <t>unknown</t>
  </si>
  <si>
    <t>Water Department</t>
  </si>
  <si>
    <t>Fire Department</t>
  </si>
  <si>
    <t>None to report</t>
  </si>
  <si>
    <t xml:space="preserve">Police </t>
  </si>
  <si>
    <t>As noted in the previous Annual Report building stock changes were done in FY2018 when the police station and fire station combined. Square foot adjustments are made in the calculator to reflect this change.</t>
  </si>
  <si>
    <t>Police (Public Safety Building)</t>
  </si>
  <si>
    <t xml:space="preserve">Medfield has a total of 125 MMBTus of solar energy on-site which makes up .3% of total building energy usage. </t>
  </si>
  <si>
    <t>Filled in table- unclear why still showing up as missing.</t>
  </si>
  <si>
    <t>The Town has made energy reductions across several categories in FY20 including buildings, streetlights, and water/sewer for a total reduction of 22.1% (or 14.7% with weather normalized data). This past year we implemented interior LED lighting projects in the schools (high school, middle school, and elementary schools). This combined with COVID-caused school closures in the spring have led to a significant reduction in energy use. However, the Town did use the opportunity of schools being closed to do deferred maintenance, so they were not completely shut down during this time. We also saw a substantial reduction of energy usage from streetlights due to an LED light retrofit completed in June 2019. The buildings with the highest energy usage per square foot include the Pfaff Center (recreation center) at 87.93 kBtu/sf, the Dale Street Elementary School at 84.39 kBtu/sf, and Medfield Highschool at 82.90 kBtu/sf.                                                                                                                                               
                                                                                                                                                                                                                      Please note that as a result of some faulty billing from Eversource, the total reduction does not show correctly in MEI: FY2020 only shows a 12.6% decrease in kwh of electricity. However, after offsetting refunds in billing, MEI does show $31,000 savings in spending in FY2020, in the range of 70% reduction annually. Energy consumption now seems correct starting April 2020: so comparing just the six months Apr-Sep, we see a 74% energy reduction between 2019 and 2020; this is likely the correct energy savings level.
Medfield has completed many of the ECMs from our ERP and have a robust list of ECMs to implement over the next 5 years which we plan to get energy audits on this winter. Projects include weatherization and HVAC work in the school buildings, as well as work at the Town Hall and, Council on Aging, and Library. ECMs in Table 4 that don't have audit information are proposed measures that are in addition to the ERP.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</si>
</sst>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44" formatCode="_(&quot;$&quot;* #,##0.00_);_(&quot;$&quot;* \(#,##0.00\);_(&quot;$&quot;* &quot;-&quot;??_);_(@_)"/>
    <numFmt numFmtId="43" formatCode="_(* #,##0.00_);_(* \(#,##0.00\);_(* &quot;-&quot;??_);_(@_)"/>
    <numFmt numFmtId="164" formatCode="&quot;$&quot;#,##0"/>
    <numFmt numFmtId="165" formatCode="[$-409]mmmm\-yy;@"/>
    <numFmt numFmtId="166" formatCode="_(* #,##0.000_);_(* \(#,##0.000\);_(* &quot;-&quot;??_);_(@_)"/>
    <numFmt numFmtId="167" formatCode="_(* #,##0.000000_);_(* \(#,##0.000000\);_(* &quot;-&quot;??_);_(@_)"/>
    <numFmt numFmtId="168" formatCode="#,##0.000000"/>
    <numFmt numFmtId="169" formatCode="_(* #,##0.000000000_);_(* \(#,##0.000000000\);_(* &quot;-&quot;??_);_(@_)"/>
    <numFmt numFmtId="170" formatCode="_(* #,##0.0_);_(* \(#,##0.0\);_(* &quot;-&quot;??_);_(@_)"/>
    <numFmt numFmtId="171" formatCode="_(* #,##0_);_(* \(#,##0\);_(* &quot;-&quot;??_);_(@_)"/>
    <numFmt numFmtId="172" formatCode="0.0%"/>
    <numFmt numFmtId="173" formatCode="[$-409]mmm\-yy;@"/>
    <numFmt numFmtId="174" formatCode="#,##0.0"/>
    <numFmt numFmtId="175" formatCode="mmmm\-yyyy"/>
  </numFmts>
  <fonts count="84" x14ac:knownFonts="1">
    <font>
      <sz val="10"/>
      <name val="Arial"/>
    </font>
    <font>
      <sz val="11"/>
      <color indexed="8"/>
      <name val="Calibri"/>
      <family val="2"/>
    </font>
    <font>
      <sz val="11"/>
      <name val="Arial"/>
      <family val="2"/>
    </font>
    <font>
      <b/>
      <sz val="11"/>
      <name val="Arial"/>
      <family val="2"/>
    </font>
    <font>
      <sz val="8"/>
      <name val="Arial"/>
      <family val="2"/>
    </font>
    <font>
      <u/>
      <sz val="10"/>
      <color indexed="12"/>
      <name val="Arial"/>
      <family val="2"/>
    </font>
    <font>
      <sz val="10"/>
      <name val="Arial"/>
      <family val="2"/>
    </font>
    <font>
      <sz val="10"/>
      <name val="Calibri"/>
      <family val="2"/>
    </font>
    <font>
      <i/>
      <sz val="10"/>
      <name val="Calibri"/>
      <family val="2"/>
    </font>
    <font>
      <i/>
      <sz val="11"/>
      <name val="Arial"/>
      <family val="2"/>
    </font>
    <font>
      <b/>
      <i/>
      <sz val="11"/>
      <name val="Arial"/>
      <family val="2"/>
    </font>
    <font>
      <b/>
      <sz val="10"/>
      <name val="Arial"/>
      <family val="2"/>
    </font>
    <font>
      <b/>
      <i/>
      <sz val="10"/>
      <name val="Arial"/>
      <family val="2"/>
    </font>
    <font>
      <sz val="8"/>
      <name val="Arial"/>
      <family val="2"/>
    </font>
    <font>
      <i/>
      <sz val="10"/>
      <name val="Arial"/>
      <family val="2"/>
    </font>
    <font>
      <b/>
      <sz val="12"/>
      <name val="Arial"/>
      <family val="2"/>
    </font>
    <font>
      <b/>
      <u/>
      <sz val="10"/>
      <name val="Arial"/>
      <family val="2"/>
    </font>
    <font>
      <b/>
      <sz val="11"/>
      <color indexed="10"/>
      <name val="Arial"/>
      <family val="2"/>
    </font>
    <font>
      <sz val="10"/>
      <color indexed="17"/>
      <name val="Arial"/>
      <family val="2"/>
    </font>
    <font>
      <b/>
      <sz val="12"/>
      <name val="Calibri"/>
      <family val="2"/>
    </font>
    <font>
      <sz val="12"/>
      <name val="Calibri"/>
      <family val="2"/>
    </font>
    <font>
      <b/>
      <sz val="16"/>
      <name val="Arial"/>
      <family val="2"/>
    </font>
    <font>
      <sz val="14"/>
      <name val="Arial"/>
      <family val="2"/>
    </font>
    <font>
      <b/>
      <sz val="14"/>
      <name val="Calibri"/>
      <family val="2"/>
    </font>
    <font>
      <sz val="14"/>
      <name val="Calibri"/>
      <family val="2"/>
    </font>
    <font>
      <b/>
      <sz val="11"/>
      <color indexed="8"/>
      <name val="Calibri"/>
      <family val="2"/>
    </font>
    <font>
      <sz val="10"/>
      <color indexed="8"/>
      <name val="Arial"/>
      <family val="2"/>
    </font>
    <font>
      <b/>
      <sz val="28"/>
      <color indexed="8"/>
      <name val="Calibri"/>
      <family val="2"/>
    </font>
    <font>
      <sz val="11"/>
      <color indexed="8"/>
      <name val="Calibri"/>
      <family val="2"/>
    </font>
    <font>
      <sz val="11"/>
      <color indexed="23"/>
      <name val="Calibri"/>
      <family val="2"/>
    </font>
    <font>
      <b/>
      <sz val="24"/>
      <color indexed="8"/>
      <name val="Calibri"/>
      <family val="2"/>
    </font>
    <font>
      <sz val="11"/>
      <color indexed="56"/>
      <name val="Calibri"/>
      <family val="2"/>
    </font>
    <font>
      <sz val="9"/>
      <color indexed="8"/>
      <name val="Verdana"/>
      <family val="2"/>
    </font>
    <font>
      <b/>
      <sz val="10"/>
      <color indexed="10"/>
      <name val="Arial"/>
      <family val="2"/>
    </font>
    <font>
      <b/>
      <sz val="16"/>
      <color indexed="10"/>
      <name val="Arial"/>
      <family val="2"/>
    </font>
    <font>
      <b/>
      <sz val="12"/>
      <color indexed="10"/>
      <name val="Arial"/>
      <family val="2"/>
    </font>
    <font>
      <b/>
      <i/>
      <sz val="11"/>
      <color indexed="10"/>
      <name val="Arial"/>
      <family val="2"/>
    </font>
    <font>
      <b/>
      <u/>
      <sz val="10"/>
      <color indexed="12"/>
      <name val="Arial"/>
      <family val="2"/>
    </font>
    <font>
      <b/>
      <u/>
      <sz val="11"/>
      <color indexed="12"/>
      <name val="Arial"/>
      <family val="2"/>
    </font>
    <font>
      <sz val="10"/>
      <name val="Arial"/>
      <family val="2"/>
    </font>
    <font>
      <b/>
      <sz val="11"/>
      <color indexed="8"/>
      <name val="Calibri"/>
      <family val="2"/>
    </font>
    <font>
      <b/>
      <i/>
      <sz val="10"/>
      <color indexed="10"/>
      <name val="Arial"/>
      <family val="2"/>
    </font>
    <font>
      <u/>
      <sz val="12"/>
      <color indexed="12"/>
      <name val="Calibri"/>
      <family val="2"/>
    </font>
    <font>
      <u/>
      <sz val="12"/>
      <name val="Calibri"/>
      <family val="2"/>
    </font>
    <font>
      <i/>
      <sz val="12"/>
      <name val="Calibri"/>
      <family val="2"/>
    </font>
    <font>
      <sz val="10"/>
      <color indexed="10"/>
      <name val="Arial"/>
      <family val="2"/>
    </font>
    <font>
      <b/>
      <u/>
      <sz val="12"/>
      <color indexed="12"/>
      <name val="Arial"/>
      <family val="2"/>
    </font>
    <font>
      <b/>
      <u/>
      <sz val="14"/>
      <name val="Arial"/>
      <family val="2"/>
    </font>
    <font>
      <i/>
      <sz val="11"/>
      <color indexed="10"/>
      <name val="Calibri"/>
      <family val="2"/>
    </font>
    <font>
      <b/>
      <i/>
      <sz val="11"/>
      <color indexed="10"/>
      <name val="Calibri"/>
      <family val="2"/>
    </font>
    <font>
      <i/>
      <sz val="12"/>
      <name val="Times New Roman"/>
      <family val="1"/>
    </font>
    <font>
      <b/>
      <i/>
      <sz val="12"/>
      <name val="Times New Roman"/>
      <family val="1"/>
    </font>
    <font>
      <sz val="11"/>
      <color theme="1"/>
      <name val="Calibri"/>
      <family val="2"/>
      <scheme val="minor"/>
    </font>
    <font>
      <u/>
      <sz val="11"/>
      <color theme="10"/>
      <name val="Calibri"/>
      <family val="2"/>
    </font>
    <font>
      <u/>
      <sz val="11"/>
      <color theme="10"/>
      <name val="Calibri"/>
      <family val="2"/>
      <scheme val="minor"/>
    </font>
    <font>
      <b/>
      <sz val="20"/>
      <color rgb="FFFF0000"/>
      <name val="Arial"/>
      <family val="2"/>
    </font>
    <font>
      <i/>
      <sz val="11"/>
      <color rgb="FFFF0000"/>
      <name val="Calibri"/>
      <family val="2"/>
      <scheme val="minor"/>
    </font>
    <font>
      <i/>
      <sz val="11"/>
      <name val="Calibri"/>
      <family val="2"/>
      <scheme val="minor"/>
    </font>
    <font>
      <i/>
      <sz val="12"/>
      <color rgb="FFFF0000"/>
      <name val="Times New Roman"/>
      <family val="1"/>
    </font>
    <font>
      <b/>
      <sz val="11"/>
      <color rgb="FFFF0000"/>
      <name val="Arial"/>
      <family val="2"/>
    </font>
    <font>
      <sz val="12"/>
      <name val="Arial"/>
      <family val="2"/>
    </font>
    <font>
      <u/>
      <sz val="14"/>
      <color indexed="12"/>
      <name val="Arial"/>
      <family val="2"/>
    </font>
    <font>
      <u/>
      <sz val="10"/>
      <color rgb="FF0070C0"/>
      <name val="Arial"/>
      <family val="2"/>
    </font>
    <font>
      <b/>
      <sz val="14"/>
      <name val="Arial"/>
      <family val="2"/>
    </font>
    <font>
      <b/>
      <sz val="20"/>
      <name val="Arial"/>
      <family val="2"/>
    </font>
    <font>
      <b/>
      <sz val="10"/>
      <color rgb="FFFF0000"/>
      <name val="Arial"/>
      <family val="2"/>
    </font>
    <font>
      <b/>
      <u/>
      <sz val="10"/>
      <color rgb="FFFF0000"/>
      <name val="Arial"/>
      <family val="2"/>
    </font>
    <font>
      <b/>
      <u/>
      <sz val="10"/>
      <color rgb="FF0070C0"/>
      <name val="Arial"/>
      <family val="2"/>
    </font>
    <font>
      <b/>
      <u/>
      <sz val="11"/>
      <name val="Arial"/>
      <family val="2"/>
    </font>
    <font>
      <sz val="10"/>
      <color rgb="FFFF0000"/>
      <name val="Arial"/>
      <family val="2"/>
    </font>
    <font>
      <b/>
      <sz val="10"/>
      <color rgb="FFC00000"/>
      <name val="Arial"/>
      <family val="2"/>
    </font>
    <font>
      <b/>
      <sz val="12"/>
      <color rgb="FFFF0000"/>
      <name val="Arial"/>
      <family val="2"/>
    </font>
    <font>
      <u/>
      <sz val="10"/>
      <name val="Arial"/>
      <family val="2"/>
    </font>
    <font>
      <sz val="10"/>
      <color rgb="FF00B050"/>
      <name val="Arial"/>
      <family val="2"/>
    </font>
    <font>
      <b/>
      <sz val="10"/>
      <color theme="4"/>
      <name val="Arial"/>
      <family val="2"/>
    </font>
    <font>
      <b/>
      <sz val="14"/>
      <color rgb="FFFF0000"/>
      <name val="Arial"/>
      <family val="2"/>
    </font>
    <font>
      <b/>
      <sz val="24"/>
      <name val="Arial"/>
      <family val="2"/>
    </font>
    <font>
      <b/>
      <sz val="12"/>
      <color theme="4"/>
      <name val="Arial"/>
      <family val="2"/>
    </font>
    <font>
      <sz val="10"/>
      <color rgb="FFC00000"/>
      <name val="Arial"/>
      <family val="2"/>
    </font>
    <font>
      <sz val="11"/>
      <color rgb="FF000000"/>
      <name val="Arial"/>
      <family val="2"/>
    </font>
    <font>
      <sz val="10"/>
      <color rgb="FF000000"/>
      <name val="Arial"/>
      <family val="2"/>
    </font>
    <font>
      <sz val="12"/>
      <color rgb="FF000000"/>
      <name val="Times New Roman"/>
      <family val="1"/>
    </font>
    <font>
      <sz val="10"/>
      <color rgb="FF000000"/>
      <name val="Calibri"/>
      <family val="2"/>
    </font>
    <font>
      <sz val="10"/>
      <name val="Arial"/>
    </font>
  </fonts>
  <fills count="46">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31"/>
        <bgColor indexed="0"/>
      </patternFill>
    </fill>
    <fill>
      <patternFill patternType="solid">
        <fgColor indexed="36"/>
        <bgColor indexed="0"/>
      </patternFill>
    </fill>
    <fill>
      <patternFill patternType="solid">
        <fgColor indexed="11"/>
        <bgColor indexed="64"/>
      </patternFill>
    </fill>
    <fill>
      <patternFill patternType="solid">
        <fgColor indexed="23"/>
        <bgColor indexed="64"/>
      </patternFill>
    </fill>
    <fill>
      <patternFill patternType="solid">
        <fgColor indexed="51"/>
        <bgColor indexed="64"/>
      </patternFill>
    </fill>
    <fill>
      <patternFill patternType="solid">
        <fgColor indexed="45"/>
        <bgColor indexed="64"/>
      </patternFill>
    </fill>
    <fill>
      <patternFill patternType="solid">
        <fgColor indexed="31"/>
        <bgColor indexed="64"/>
      </patternFill>
    </fill>
    <fill>
      <patternFill patternType="solid">
        <fgColor indexed="9"/>
        <bgColor indexed="64"/>
      </patternFill>
    </fill>
    <fill>
      <patternFill patternType="solid">
        <fgColor indexed="46"/>
        <bgColor indexed="64"/>
      </patternFill>
    </fill>
    <fill>
      <patternFill patternType="solid">
        <fgColor indexed="43"/>
        <bgColor indexed="64"/>
      </patternFill>
    </fill>
    <fill>
      <patternFill patternType="solid">
        <fgColor indexed="50"/>
        <bgColor indexed="64"/>
      </patternFill>
    </fill>
    <fill>
      <patternFill patternType="solid">
        <fgColor rgb="FF92D050"/>
        <bgColor indexed="64"/>
      </patternFill>
    </fill>
    <fill>
      <patternFill patternType="solid">
        <fgColor theme="0"/>
        <bgColor indexed="64"/>
      </patternFill>
    </fill>
    <fill>
      <patternFill patternType="solid">
        <fgColor rgb="FFFFFF99"/>
        <bgColor indexed="64"/>
      </patternFill>
    </fill>
    <fill>
      <patternFill patternType="solid">
        <fgColor rgb="FFF9FB97"/>
        <bgColor indexed="64"/>
      </patternFill>
    </fill>
    <fill>
      <patternFill patternType="solid">
        <fgColor theme="8" tint="0.39997558519241921"/>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rgb="FFCCCCFF"/>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66"/>
        <bgColor indexed="64"/>
      </patternFill>
    </fill>
    <fill>
      <patternFill patternType="solid">
        <fgColor theme="7" tint="0.59999389629810485"/>
        <bgColor indexed="64"/>
      </patternFill>
    </fill>
    <fill>
      <patternFill patternType="solid">
        <fgColor theme="0" tint="-0.24994659260841701"/>
        <bgColor auto="1"/>
      </patternFill>
    </fill>
    <fill>
      <patternFill patternType="solid">
        <fgColor theme="0" tint="-0.34998626667073579"/>
        <bgColor indexed="64"/>
      </patternFill>
    </fill>
    <fill>
      <patternFill patternType="solid">
        <fgColor theme="7" tint="0.39997558519241921"/>
        <bgColor indexed="64"/>
      </patternFill>
    </fill>
    <fill>
      <patternFill patternType="solid">
        <fgColor rgb="FFCCC0DA"/>
        <bgColor indexed="64"/>
      </patternFill>
    </fill>
    <fill>
      <patternFill patternType="solid">
        <fgColor rgb="FFB7DEE8"/>
        <bgColor indexed="64"/>
      </patternFill>
    </fill>
    <fill>
      <patternFill patternType="solid">
        <fgColor rgb="FFD9D9D9"/>
        <bgColor indexed="64"/>
      </patternFill>
    </fill>
    <fill>
      <patternFill patternType="solid">
        <fgColor rgb="FFFFC000"/>
        <bgColor indexed="64"/>
      </patternFill>
    </fill>
    <fill>
      <patternFill patternType="solid">
        <fgColor theme="8" tint="-0.249977111117893"/>
        <bgColor indexed="64"/>
      </patternFill>
    </fill>
    <fill>
      <patternFill patternType="solid">
        <fgColor theme="8" tint="0.59999389629810485"/>
        <bgColor indexed="64"/>
      </patternFill>
    </fill>
    <fill>
      <patternFill patternType="solid">
        <fgColor rgb="FF92CDDC"/>
        <bgColor indexed="64"/>
      </patternFill>
    </fill>
    <fill>
      <patternFill patternType="solid">
        <fgColor rgb="FF92D050"/>
        <bgColor rgb="FFD8E4BC"/>
      </patternFill>
    </fill>
    <fill>
      <patternFill patternType="solid">
        <fgColor rgb="FF92D050"/>
        <bgColor rgb="FFFF00FF"/>
      </patternFill>
    </fill>
    <fill>
      <patternFill patternType="solid">
        <fgColor rgb="FF92D050"/>
        <bgColor rgb="FFFFC000"/>
      </patternFill>
    </fill>
    <fill>
      <patternFill patternType="solid">
        <fgColor rgb="FF92D050"/>
        <bgColor rgb="FFDAEEF3"/>
      </patternFill>
    </fill>
    <fill>
      <patternFill patternType="solid">
        <fgColor rgb="FF92D050"/>
        <bgColor rgb="FFEBF1DE"/>
      </patternFill>
    </fill>
    <fill>
      <patternFill patternType="solid">
        <fgColor rgb="FF92D050"/>
        <bgColor rgb="FFB7DEE8"/>
      </patternFill>
    </fill>
  </fills>
  <borders count="86">
    <border>
      <left/>
      <right/>
      <top/>
      <bottom/>
      <diagonal/>
    </border>
    <border>
      <left/>
      <right/>
      <top style="thin">
        <color indexed="62"/>
      </top>
      <bottom style="double">
        <color indexed="62"/>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55"/>
      </left>
      <right style="medium">
        <color indexed="55"/>
      </right>
      <top/>
      <bottom style="medium">
        <color indexed="55"/>
      </bottom>
      <diagonal/>
    </border>
    <border>
      <left/>
      <right style="medium">
        <color indexed="55"/>
      </right>
      <top/>
      <bottom style="medium">
        <color indexed="55"/>
      </bottom>
      <diagonal/>
    </border>
    <border>
      <left style="medium">
        <color indexed="55"/>
      </left>
      <right style="medium">
        <color indexed="55"/>
      </right>
      <top style="medium">
        <color indexed="55"/>
      </top>
      <bottom style="medium">
        <color indexed="55"/>
      </bottom>
      <diagonal/>
    </border>
    <border>
      <left/>
      <right style="medium">
        <color indexed="55"/>
      </right>
      <top style="medium">
        <color indexed="55"/>
      </top>
      <bottom style="medium">
        <color indexed="55"/>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bottom style="double">
        <color indexed="64"/>
      </bottom>
      <diagonal/>
    </border>
    <border>
      <left style="medium">
        <color indexed="64"/>
      </left>
      <right style="double">
        <color indexed="64"/>
      </right>
      <top/>
      <bottom/>
      <diagonal/>
    </border>
    <border>
      <left style="double">
        <color indexed="64"/>
      </left>
      <right style="double">
        <color indexed="64"/>
      </right>
      <top/>
      <bottom/>
      <diagonal/>
    </border>
    <border>
      <left style="double">
        <color indexed="64"/>
      </left>
      <right style="double">
        <color indexed="64"/>
      </right>
      <top/>
      <bottom style="double">
        <color indexed="64"/>
      </bottom>
      <diagonal/>
    </border>
    <border>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medium">
        <color indexed="64"/>
      </bottom>
      <diagonal/>
    </border>
    <border>
      <left style="thin">
        <color indexed="64"/>
      </left>
      <right/>
      <top/>
      <bottom/>
      <diagonal/>
    </border>
    <border>
      <left/>
      <right style="thin">
        <color indexed="64"/>
      </right>
      <top/>
      <bottom/>
      <diagonal/>
    </border>
    <border>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s>
  <cellStyleXfs count="29">
    <xf numFmtId="0" fontId="0" fillId="0" borderId="0"/>
    <xf numFmtId="43" fontId="39"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28" fillId="0" borderId="0" applyFont="0" applyFill="0" applyBorder="0" applyAlignment="0" applyProtection="0"/>
    <xf numFmtId="44" fontId="6" fillId="0" borderId="0" applyFont="0" applyFill="0" applyBorder="0" applyAlignment="0" applyProtection="0"/>
    <xf numFmtId="0" fontId="6" fillId="0" borderId="0"/>
    <xf numFmtId="0" fontId="5" fillId="0" borderId="0" applyNumberFormat="0" applyFill="0" applyBorder="0" applyAlignment="0" applyProtection="0">
      <alignment vertical="top"/>
      <protection locked="0"/>
    </xf>
    <xf numFmtId="0" fontId="53"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5" fillId="0" borderId="0"/>
    <xf numFmtId="0" fontId="54" fillId="0" borderId="0" applyNumberFormat="0" applyFill="0" applyBorder="0" applyAlignment="0" applyProtection="0"/>
    <xf numFmtId="0" fontId="52" fillId="0" borderId="0"/>
    <xf numFmtId="0" fontId="6" fillId="0" borderId="0"/>
    <xf numFmtId="0" fontId="52" fillId="0" borderId="0"/>
    <xf numFmtId="0" fontId="6" fillId="0" borderId="0"/>
    <xf numFmtId="0" fontId="52" fillId="0" borderId="0"/>
    <xf numFmtId="0" fontId="52" fillId="0" borderId="0"/>
    <xf numFmtId="0" fontId="52" fillId="0" borderId="0"/>
    <xf numFmtId="0" fontId="52" fillId="0" borderId="0"/>
    <xf numFmtId="0" fontId="6" fillId="0" borderId="0"/>
    <xf numFmtId="0" fontId="6" fillId="0" borderId="0"/>
    <xf numFmtId="0" fontId="6" fillId="0" borderId="0"/>
    <xf numFmtId="0" fontId="26" fillId="0" borderId="0"/>
    <xf numFmtId="9" fontId="6" fillId="0" borderId="0" applyFont="0" applyFill="0" applyBorder="0" applyAlignment="0" applyProtection="0"/>
    <xf numFmtId="0" fontId="40" fillId="0" borderId="1" applyNumberFormat="0" applyFill="0" applyAlignment="0" applyProtection="0"/>
    <xf numFmtId="0" fontId="83" fillId="0" borderId="0"/>
  </cellStyleXfs>
  <cellXfs count="1162">
    <xf numFmtId="0" fontId="0" fillId="0" borderId="0" xfId="0"/>
    <xf numFmtId="0" fontId="6" fillId="0" borderId="0" xfId="0" applyFont="1"/>
    <xf numFmtId="0" fontId="11" fillId="0" borderId="0" xfId="0" applyFont="1" applyBorder="1" applyAlignment="1">
      <alignment horizontal="center" wrapText="1"/>
    </xf>
    <xf numFmtId="17" fontId="0" fillId="0" borderId="0" xfId="0" applyNumberFormat="1"/>
    <xf numFmtId="9" fontId="0" fillId="2" borderId="6" xfId="0" applyNumberFormat="1" applyFill="1" applyBorder="1" applyAlignment="1" applyProtection="1">
      <alignment horizontal="center"/>
    </xf>
    <xf numFmtId="0" fontId="3" fillId="0" borderId="0" xfId="0" applyFont="1" applyFill="1" applyBorder="1" applyProtection="1"/>
    <xf numFmtId="0" fontId="3" fillId="0" borderId="0" xfId="0" applyFont="1" applyFill="1" applyBorder="1" applyAlignment="1" applyProtection="1"/>
    <xf numFmtId="0" fontId="14" fillId="0" borderId="0" xfId="0" applyFont="1" applyFill="1" applyBorder="1" applyAlignment="1">
      <alignment horizontal="left" vertical="top" wrapText="1"/>
    </xf>
    <xf numFmtId="0" fontId="23" fillId="0" borderId="7" xfId="0" applyFont="1" applyBorder="1" applyAlignment="1">
      <alignment vertical="top" wrapText="1"/>
    </xf>
    <xf numFmtId="0" fontId="24" fillId="0" borderId="8" xfId="0" applyFont="1" applyBorder="1" applyAlignment="1">
      <alignment vertical="top" wrapText="1"/>
    </xf>
    <xf numFmtId="0" fontId="23" fillId="0" borderId="9" xfId="0" applyFont="1" applyBorder="1" applyAlignment="1">
      <alignment vertical="top" wrapText="1"/>
    </xf>
    <xf numFmtId="0" fontId="24" fillId="0" borderId="10" xfId="0" applyFont="1" applyBorder="1" applyAlignment="1">
      <alignment vertical="top" wrapText="1"/>
    </xf>
    <xf numFmtId="0" fontId="0" fillId="0" borderId="0" xfId="0" applyBorder="1" applyProtection="1"/>
    <xf numFmtId="0" fontId="6" fillId="0" borderId="0" xfId="17" applyNumberFormat="1" applyFont="1" applyBorder="1" applyAlignment="1" applyProtection="1">
      <alignment vertical="center" wrapText="1"/>
    </xf>
    <xf numFmtId="0" fontId="6" fillId="0" borderId="0" xfId="0" applyNumberFormat="1" applyFont="1" applyFill="1" applyBorder="1" applyAlignment="1" applyProtection="1">
      <alignment horizontal="left" vertical="top" wrapText="1"/>
    </xf>
    <xf numFmtId="0" fontId="0" fillId="0" borderId="0" xfId="0" applyFill="1" applyBorder="1" applyAlignment="1" applyProtection="1">
      <alignment horizontal="left" vertical="top" wrapText="1"/>
    </xf>
    <xf numFmtId="0" fontId="0" fillId="0" borderId="11" xfId="0" applyBorder="1"/>
    <xf numFmtId="0" fontId="0" fillId="0" borderId="12" xfId="0" applyBorder="1"/>
    <xf numFmtId="0" fontId="0" fillId="0" borderId="13" xfId="0" applyBorder="1"/>
    <xf numFmtId="0" fontId="0" fillId="0" borderId="14" xfId="0" applyBorder="1"/>
    <xf numFmtId="0" fontId="0" fillId="0" borderId="0" xfId="0" applyBorder="1"/>
    <xf numFmtId="0" fontId="0" fillId="0" borderId="15" xfId="0" applyBorder="1"/>
    <xf numFmtId="0" fontId="0" fillId="0" borderId="16" xfId="0" applyBorder="1"/>
    <xf numFmtId="0" fontId="0" fillId="0" borderId="17" xfId="0" applyBorder="1" applyAlignment="1">
      <alignment wrapText="1"/>
    </xf>
    <xf numFmtId="0" fontId="0" fillId="0" borderId="18" xfId="0" applyBorder="1"/>
    <xf numFmtId="0" fontId="0" fillId="3" borderId="0" xfId="0" applyFill="1"/>
    <xf numFmtId="0" fontId="0" fillId="3" borderId="0" xfId="0" applyFill="1" applyAlignment="1">
      <alignment wrapText="1"/>
    </xf>
    <xf numFmtId="0" fontId="22" fillId="0" borderId="11" xfId="0" applyFont="1" applyBorder="1"/>
    <xf numFmtId="0" fontId="22" fillId="0" borderId="12" xfId="0" applyFont="1" applyBorder="1"/>
    <xf numFmtId="0" fontId="22" fillId="0" borderId="13" xfId="0" applyFont="1" applyBorder="1"/>
    <xf numFmtId="0" fontId="22" fillId="0" borderId="14" xfId="0" applyFont="1" applyBorder="1"/>
    <xf numFmtId="0" fontId="21" fillId="0" borderId="0" xfId="0" applyFont="1" applyBorder="1"/>
    <xf numFmtId="0" fontId="22" fillId="0" borderId="15" xfId="0" applyFont="1" applyBorder="1"/>
    <xf numFmtId="0" fontId="22" fillId="0" borderId="0" xfId="0" applyFont="1" applyBorder="1"/>
    <xf numFmtId="0" fontId="22" fillId="0" borderId="16" xfId="0" applyFont="1" applyBorder="1"/>
    <xf numFmtId="0" fontId="22" fillId="0" borderId="17" xfId="0" applyFont="1" applyBorder="1"/>
    <xf numFmtId="0" fontId="22" fillId="0" borderId="18" xfId="0" applyFont="1" applyBorder="1"/>
    <xf numFmtId="0" fontId="22" fillId="3" borderId="0" xfId="0" applyFont="1" applyFill="1"/>
    <xf numFmtId="0" fontId="11" fillId="0" borderId="0" xfId="0" applyFont="1" applyBorder="1"/>
    <xf numFmtId="0" fontId="0" fillId="0" borderId="15" xfId="0" applyBorder="1" applyAlignment="1">
      <alignment vertical="top" wrapText="1"/>
    </xf>
    <xf numFmtId="0" fontId="3" fillId="0" borderId="15" xfId="0" applyFont="1" applyFill="1" applyBorder="1" applyAlignment="1">
      <alignment wrapText="1"/>
    </xf>
    <xf numFmtId="0" fontId="11" fillId="0" borderId="15" xfId="0" applyFont="1" applyBorder="1" applyAlignment="1">
      <alignment horizontal="center" wrapText="1"/>
    </xf>
    <xf numFmtId="0" fontId="14" fillId="0" borderId="15" xfId="0" applyFont="1" applyBorder="1" applyAlignment="1">
      <alignment wrapText="1"/>
    </xf>
    <xf numFmtId="0" fontId="14" fillId="0" borderId="18" xfId="0" applyFont="1" applyBorder="1" applyAlignment="1">
      <alignment wrapText="1"/>
    </xf>
    <xf numFmtId="0" fontId="14" fillId="3" borderId="0" xfId="0" applyFont="1" applyFill="1" applyBorder="1" applyAlignment="1">
      <alignment wrapText="1"/>
    </xf>
    <xf numFmtId="0" fontId="19" fillId="0" borderId="0" xfId="0" applyFont="1" applyBorder="1" applyAlignment="1">
      <alignment wrapText="1"/>
    </xf>
    <xf numFmtId="0" fontId="0" fillId="0" borderId="0" xfId="0" applyBorder="1" applyAlignment="1">
      <alignment wrapText="1"/>
    </xf>
    <xf numFmtId="0" fontId="0" fillId="0" borderId="14" xfId="0" applyFill="1" applyBorder="1"/>
    <xf numFmtId="0" fontId="0" fillId="0" borderId="15" xfId="0" applyFill="1" applyBorder="1"/>
    <xf numFmtId="0" fontId="20" fillId="0" borderId="0" xfId="0" applyFont="1" applyBorder="1" applyAlignment="1">
      <alignment wrapText="1"/>
    </xf>
    <xf numFmtId="169" fontId="0" fillId="0" borderId="19" xfId="4" applyNumberFormat="1" applyFont="1" applyBorder="1" applyAlignment="1"/>
    <xf numFmtId="169" fontId="0" fillId="6" borderId="19" xfId="4" applyNumberFormat="1" applyFont="1" applyFill="1" applyBorder="1" applyAlignment="1"/>
    <xf numFmtId="166" fontId="1" fillId="0" borderId="0" xfId="4" applyNumberFormat="1" applyFont="1" applyAlignment="1" applyProtection="1"/>
    <xf numFmtId="166" fontId="25" fillId="8" borderId="19" xfId="4" applyNumberFormat="1" applyFont="1" applyFill="1" applyBorder="1" applyAlignment="1" applyProtection="1">
      <alignment horizontal="center" vertical="center"/>
    </xf>
    <xf numFmtId="170" fontId="0" fillId="6" borderId="19" xfId="4" applyNumberFormat="1" applyFont="1" applyFill="1" applyBorder="1" applyAlignment="1" applyProtection="1"/>
    <xf numFmtId="170" fontId="0" fillId="0" borderId="19" xfId="4" applyNumberFormat="1" applyFont="1" applyBorder="1" applyAlignment="1" applyProtection="1"/>
    <xf numFmtId="43" fontId="0" fillId="0" borderId="19" xfId="4" applyFont="1" applyBorder="1" applyAlignment="1" applyProtection="1"/>
    <xf numFmtId="0" fontId="53" fillId="0" borderId="19" xfId="10" applyBorder="1" applyAlignment="1" applyProtection="1">
      <alignment horizontal="center" vertical="center" wrapText="1"/>
    </xf>
    <xf numFmtId="166" fontId="25" fillId="9" borderId="19" xfId="4" applyNumberFormat="1" applyFont="1" applyFill="1" applyBorder="1" applyAlignment="1" applyProtection="1">
      <alignment horizontal="center" vertical="center"/>
    </xf>
    <xf numFmtId="166" fontId="0" fillId="0" borderId="19" xfId="4" applyNumberFormat="1" applyFont="1" applyBorder="1" applyAlignment="1" applyProtection="1"/>
    <xf numFmtId="0" fontId="0" fillId="3" borderId="0" xfId="0" applyFill="1" applyProtection="1"/>
    <xf numFmtId="0" fontId="0" fillId="0" borderId="11" xfId="0" applyBorder="1" applyProtection="1"/>
    <xf numFmtId="0" fontId="0" fillId="0" borderId="12" xfId="0" applyBorder="1" applyProtection="1"/>
    <xf numFmtId="0" fontId="0" fillId="0" borderId="13" xfId="0" applyBorder="1" applyProtection="1"/>
    <xf numFmtId="0" fontId="0" fillId="0" borderId="14" xfId="0" applyBorder="1" applyProtection="1"/>
    <xf numFmtId="0" fontId="0" fillId="0" borderId="15" xfId="0" applyBorder="1" applyProtection="1"/>
    <xf numFmtId="0" fontId="0" fillId="0" borderId="14" xfId="0" applyFill="1" applyBorder="1" applyProtection="1"/>
    <xf numFmtId="0" fontId="0" fillId="0" borderId="15" xfId="0" applyFill="1" applyBorder="1" applyProtection="1"/>
    <xf numFmtId="0" fontId="0" fillId="0" borderId="16" xfId="0" applyBorder="1" applyProtection="1"/>
    <xf numFmtId="0" fontId="0" fillId="0" borderId="18" xfId="0" applyBorder="1" applyProtection="1"/>
    <xf numFmtId="0" fontId="2" fillId="3" borderId="0" xfId="0" applyFont="1" applyFill="1" applyBorder="1" applyProtection="1"/>
    <xf numFmtId="0" fontId="2" fillId="3" borderId="0" xfId="0" applyFont="1" applyFill="1" applyBorder="1" applyAlignment="1" applyProtection="1">
      <alignment vertical="center" wrapText="1"/>
    </xf>
    <xf numFmtId="0" fontId="2" fillId="0" borderId="11" xfId="0" applyFont="1" applyBorder="1" applyProtection="1"/>
    <xf numFmtId="0" fontId="2" fillId="0" borderId="12" xfId="0" applyFont="1" applyBorder="1" applyProtection="1"/>
    <xf numFmtId="0" fontId="2" fillId="0" borderId="12" xfId="0" applyFont="1" applyBorder="1" applyAlignment="1" applyProtection="1">
      <alignment vertical="center" wrapText="1"/>
    </xf>
    <xf numFmtId="0" fontId="2" fillId="0" borderId="13" xfId="0" applyFont="1" applyBorder="1" applyProtection="1"/>
    <xf numFmtId="0" fontId="2" fillId="0" borderId="14" xfId="0" applyFont="1" applyBorder="1" applyProtection="1"/>
    <xf numFmtId="0" fontId="2" fillId="0" borderId="15" xfId="0" applyFont="1" applyBorder="1" applyProtection="1"/>
    <xf numFmtId="0" fontId="3" fillId="0" borderId="14" xfId="0" applyFont="1" applyFill="1" applyBorder="1" applyAlignment="1" applyProtection="1"/>
    <xf numFmtId="0" fontId="3" fillId="0" borderId="15" xfId="0" applyFont="1" applyFill="1" applyBorder="1" applyAlignment="1" applyProtection="1"/>
    <xf numFmtId="0" fontId="3" fillId="3" borderId="0" xfId="0" applyFont="1" applyFill="1" applyBorder="1" applyAlignment="1" applyProtection="1"/>
    <xf numFmtId="0" fontId="2" fillId="0" borderId="14" xfId="0" applyFont="1" applyBorder="1" applyAlignment="1" applyProtection="1">
      <alignment vertical="center"/>
    </xf>
    <xf numFmtId="0" fontId="3" fillId="2" borderId="21" xfId="0" applyFont="1" applyFill="1" applyBorder="1" applyAlignment="1" applyProtection="1">
      <alignment horizontal="center" vertical="center" wrapText="1"/>
    </xf>
    <xf numFmtId="0" fontId="3" fillId="2" borderId="22" xfId="0" applyFont="1" applyFill="1" applyBorder="1" applyAlignment="1" applyProtection="1">
      <alignment horizontal="center" vertical="center" wrapText="1"/>
    </xf>
    <xf numFmtId="0" fontId="3" fillId="2" borderId="23" xfId="0" applyFont="1" applyFill="1" applyBorder="1" applyAlignment="1" applyProtection="1">
      <alignment horizontal="center" vertical="center" wrapText="1"/>
    </xf>
    <xf numFmtId="0" fontId="2" fillId="0" borderId="15" xfId="0" applyFont="1" applyBorder="1" applyAlignment="1" applyProtection="1">
      <alignment vertical="center"/>
    </xf>
    <xf numFmtId="0" fontId="2" fillId="3" borderId="0" xfId="0" applyFont="1" applyFill="1" applyBorder="1" applyAlignment="1" applyProtection="1">
      <alignment vertical="center"/>
    </xf>
    <xf numFmtId="164" fontId="3" fillId="0" borderId="0" xfId="0" applyNumberFormat="1" applyFont="1" applyFill="1" applyBorder="1" applyAlignment="1" applyProtection="1">
      <alignment vertical="center" wrapText="1"/>
    </xf>
    <xf numFmtId="0" fontId="2" fillId="0" borderId="0" xfId="0" applyFont="1" applyFill="1" applyBorder="1" applyProtection="1"/>
    <xf numFmtId="0" fontId="2" fillId="0" borderId="12" xfId="0" applyFont="1" applyFill="1" applyBorder="1" applyProtection="1"/>
    <xf numFmtId="0" fontId="2" fillId="0" borderId="0" xfId="0" applyFont="1" applyFill="1" applyBorder="1" applyAlignment="1" applyProtection="1">
      <alignment vertical="center" wrapText="1"/>
    </xf>
    <xf numFmtId="0" fontId="2" fillId="0" borderId="16" xfId="0" applyFont="1" applyBorder="1" applyProtection="1"/>
    <xf numFmtId="0" fontId="2" fillId="0" borderId="17" xfId="0" applyFont="1" applyBorder="1" applyProtection="1"/>
    <xf numFmtId="0" fontId="2" fillId="0" borderId="17" xfId="0" applyFont="1" applyBorder="1" applyAlignment="1" applyProtection="1">
      <alignment vertical="center" wrapText="1"/>
    </xf>
    <xf numFmtId="0" fontId="2" fillId="0" borderId="18" xfId="0" applyFont="1" applyBorder="1" applyProtection="1"/>
    <xf numFmtId="0" fontId="3" fillId="2" borderId="26" xfId="0" applyFont="1" applyFill="1" applyBorder="1" applyAlignment="1" applyProtection="1">
      <alignment horizontal="center" vertical="center" wrapText="1"/>
    </xf>
    <xf numFmtId="0" fontId="2" fillId="0" borderId="14" xfId="0" applyFont="1" applyFill="1" applyBorder="1" applyProtection="1"/>
    <xf numFmtId="0" fontId="0" fillId="3" borderId="0" xfId="0" applyFill="1" applyAlignment="1" applyProtection="1">
      <alignment wrapText="1"/>
    </xf>
    <xf numFmtId="0" fontId="0" fillId="0" borderId="12" xfId="0" applyBorder="1" applyAlignment="1" applyProtection="1">
      <alignment wrapText="1"/>
    </xf>
    <xf numFmtId="0" fontId="3" fillId="10" borderId="0" xfId="0" applyFont="1" applyFill="1" applyBorder="1" applyAlignment="1" applyProtection="1">
      <alignment vertical="center"/>
    </xf>
    <xf numFmtId="0" fontId="2" fillId="0" borderId="0" xfId="0" applyFont="1" applyBorder="1" applyProtection="1"/>
    <xf numFmtId="0" fontId="15" fillId="2" borderId="27" xfId="0" applyFont="1" applyFill="1" applyBorder="1" applyAlignment="1" applyProtection="1">
      <alignment horizontal="center" vertical="center" wrapText="1"/>
    </xf>
    <xf numFmtId="0" fontId="15" fillId="2" borderId="28" xfId="0" applyFont="1" applyFill="1" applyBorder="1" applyAlignment="1" applyProtection="1">
      <alignment horizontal="center" vertical="center" wrapText="1"/>
    </xf>
    <xf numFmtId="0" fontId="11" fillId="0" borderId="14" xfId="0" applyFont="1" applyBorder="1" applyProtection="1"/>
    <xf numFmtId="0" fontId="17" fillId="0" borderId="29" xfId="0" applyFont="1" applyBorder="1" applyAlignment="1" applyProtection="1">
      <alignment wrapText="1"/>
    </xf>
    <xf numFmtId="0" fontId="11" fillId="0" borderId="15" xfId="0" applyFont="1" applyBorder="1" applyProtection="1"/>
    <xf numFmtId="0" fontId="11" fillId="3" borderId="0" xfId="0" applyFont="1" applyFill="1" applyProtection="1"/>
    <xf numFmtId="0" fontId="11" fillId="0" borderId="30" xfId="0" applyFont="1" applyBorder="1" applyAlignment="1" applyProtection="1">
      <alignment wrapText="1"/>
    </xf>
    <xf numFmtId="0" fontId="12" fillId="0" borderId="30" xfId="0" applyFont="1" applyBorder="1" applyAlignment="1" applyProtection="1">
      <alignment wrapText="1"/>
    </xf>
    <xf numFmtId="3" fontId="0" fillId="0" borderId="15" xfId="0" applyNumberFormat="1" applyBorder="1" applyProtection="1"/>
    <xf numFmtId="0" fontId="0" fillId="0" borderId="17" xfId="0" applyBorder="1" applyAlignment="1" applyProtection="1">
      <alignment wrapText="1"/>
    </xf>
    <xf numFmtId="0" fontId="0" fillId="0" borderId="17" xfId="0" applyBorder="1" applyProtection="1"/>
    <xf numFmtId="0" fontId="3" fillId="0" borderId="0" xfId="0" applyFont="1" applyFill="1" applyBorder="1" applyAlignment="1" applyProtection="1">
      <alignment vertical="center"/>
    </xf>
    <xf numFmtId="0" fontId="6" fillId="0" borderId="15" xfId="0" applyFont="1" applyBorder="1" applyProtection="1"/>
    <xf numFmtId="0" fontId="11" fillId="0" borderId="14" xfId="0" applyFont="1" applyBorder="1" applyAlignment="1" applyProtection="1">
      <alignment wrapText="1"/>
    </xf>
    <xf numFmtId="0" fontId="11" fillId="0" borderId="15" xfId="0" applyFont="1" applyBorder="1" applyAlignment="1" applyProtection="1">
      <alignment wrapText="1"/>
    </xf>
    <xf numFmtId="0" fontId="11" fillId="3" borderId="0" xfId="0" applyFont="1" applyFill="1" applyAlignment="1" applyProtection="1">
      <alignment wrapText="1"/>
    </xf>
    <xf numFmtId="0" fontId="11" fillId="0" borderId="30" xfId="0" applyFont="1" applyBorder="1" applyProtection="1"/>
    <xf numFmtId="0" fontId="0" fillId="3" borderId="0" xfId="0" applyFill="1" applyBorder="1" applyProtection="1"/>
    <xf numFmtId="0" fontId="6" fillId="0" borderId="15" xfId="0" applyFont="1" applyFill="1" applyBorder="1" applyProtection="1"/>
    <xf numFmtId="0" fontId="0" fillId="0" borderId="15" xfId="0" applyFill="1" applyBorder="1" applyAlignment="1" applyProtection="1">
      <alignment vertical="center" wrapText="1"/>
    </xf>
    <xf numFmtId="0" fontId="0" fillId="0" borderId="15" xfId="0" applyFill="1" applyBorder="1" applyAlignment="1" applyProtection="1">
      <alignment horizontal="left" vertical="top" wrapText="1"/>
    </xf>
    <xf numFmtId="0" fontId="6" fillId="0" borderId="0" xfId="0" applyFont="1" applyFill="1" applyBorder="1" applyAlignment="1" applyProtection="1">
      <alignment vertical="top" wrapText="1"/>
    </xf>
    <xf numFmtId="0" fontId="0" fillId="0" borderId="0" xfId="0" applyBorder="1" applyAlignment="1" applyProtection="1">
      <alignment wrapText="1"/>
    </xf>
    <xf numFmtId="0" fontId="16" fillId="0" borderId="0" xfId="0" applyFont="1" applyBorder="1" applyAlignment="1" applyProtection="1">
      <alignment vertical="center"/>
    </xf>
    <xf numFmtId="0" fontId="18" fillId="0" borderId="0" xfId="0" applyFont="1" applyBorder="1" applyAlignment="1" applyProtection="1">
      <alignment vertical="center"/>
    </xf>
    <xf numFmtId="0" fontId="11" fillId="0" borderId="0" xfId="0" applyFont="1" applyFill="1" applyBorder="1" applyProtection="1"/>
    <xf numFmtId="0" fontId="0" fillId="0" borderId="0" xfId="0" applyFill="1" applyBorder="1" applyProtection="1"/>
    <xf numFmtId="0" fontId="6" fillId="0" borderId="0" xfId="0" applyFont="1" applyBorder="1" applyProtection="1"/>
    <xf numFmtId="0" fontId="0" fillId="0" borderId="14" xfId="0" applyBorder="1" applyAlignment="1" applyProtection="1">
      <alignment vertical="center"/>
    </xf>
    <xf numFmtId="0" fontId="0" fillId="0" borderId="15" xfId="0" applyBorder="1" applyAlignment="1" applyProtection="1">
      <alignment vertical="center"/>
    </xf>
    <xf numFmtId="0" fontId="0" fillId="3" borderId="0" xfId="0" applyFill="1" applyAlignment="1" applyProtection="1">
      <alignment vertical="center"/>
    </xf>
    <xf numFmtId="0" fontId="0" fillId="0" borderId="0" xfId="0" applyBorder="1" applyAlignment="1" applyProtection="1">
      <alignment horizontal="left"/>
    </xf>
    <xf numFmtId="0" fontId="11" fillId="0" borderId="30" xfId="0" applyFont="1" applyBorder="1" applyAlignment="1" applyProtection="1">
      <alignment horizontal="center" wrapText="1"/>
    </xf>
    <xf numFmtId="0" fontId="11" fillId="0" borderId="19" xfId="0" applyFont="1" applyBorder="1" applyAlignment="1" applyProtection="1">
      <alignment horizontal="center" wrapText="1"/>
    </xf>
    <xf numFmtId="0" fontId="11" fillId="10" borderId="19" xfId="0" applyFont="1" applyFill="1" applyBorder="1" applyAlignment="1" applyProtection="1">
      <alignment horizontal="center" wrapText="1"/>
    </xf>
    <xf numFmtId="0" fontId="0" fillId="11" borderId="11" xfId="0" applyFill="1" applyBorder="1" applyProtection="1"/>
    <xf numFmtId="0" fontId="15" fillId="0" borderId="12" xfId="0" applyFont="1" applyBorder="1" applyAlignment="1" applyProtection="1">
      <alignment vertical="center"/>
    </xf>
    <xf numFmtId="0" fontId="0" fillId="0" borderId="12" xfId="0" applyBorder="1" applyAlignment="1" applyProtection="1">
      <alignment vertical="top"/>
    </xf>
    <xf numFmtId="0" fontId="0" fillId="0" borderId="13" xfId="0" applyBorder="1" applyAlignment="1" applyProtection="1">
      <alignment vertical="top"/>
    </xf>
    <xf numFmtId="0" fontId="0" fillId="11" borderId="14" xfId="0" applyFill="1" applyBorder="1" applyProtection="1"/>
    <xf numFmtId="0" fontId="0" fillId="0" borderId="15" xfId="0" applyBorder="1" applyAlignment="1" applyProtection="1">
      <alignment vertical="top"/>
    </xf>
    <xf numFmtId="0" fontId="0" fillId="0" borderId="0" xfId="0" applyBorder="1" applyAlignment="1" applyProtection="1">
      <alignment vertical="top"/>
    </xf>
    <xf numFmtId="0" fontId="0" fillId="0" borderId="15" xfId="0" applyBorder="1" applyAlignment="1" applyProtection="1">
      <alignment wrapText="1"/>
    </xf>
    <xf numFmtId="0" fontId="3" fillId="0" borderId="0" xfId="0" applyFont="1" applyBorder="1" applyAlignment="1" applyProtection="1">
      <alignment wrapText="1"/>
    </xf>
    <xf numFmtId="0" fontId="3" fillId="0" borderId="0" xfId="0" applyFont="1" applyBorder="1" applyProtection="1"/>
    <xf numFmtId="0" fontId="0" fillId="0" borderId="0" xfId="0" applyBorder="1" applyAlignment="1" applyProtection="1">
      <alignment vertical="center"/>
    </xf>
    <xf numFmtId="0" fontId="0" fillId="11" borderId="14" xfId="0" applyFill="1" applyBorder="1" applyAlignment="1" applyProtection="1">
      <alignment vertical="center"/>
    </xf>
    <xf numFmtId="0" fontId="2" fillId="0" borderId="0" xfId="0" applyFont="1" applyBorder="1" applyAlignment="1" applyProtection="1">
      <alignment vertical="center"/>
    </xf>
    <xf numFmtId="0" fontId="0" fillId="11" borderId="16" xfId="0" applyFill="1" applyBorder="1" applyProtection="1"/>
    <xf numFmtId="0" fontId="1" fillId="0" borderId="0" xfId="0" applyFont="1" applyAlignment="1" applyProtection="1"/>
    <xf numFmtId="0" fontId="1" fillId="0" borderId="0" xfId="0" applyFont="1" applyAlignment="1" applyProtection="1">
      <alignment horizontal="center" vertical="center" wrapText="1"/>
    </xf>
    <xf numFmtId="0" fontId="0" fillId="7" borderId="19" xfId="0" applyFill="1" applyBorder="1" applyAlignment="1" applyProtection="1">
      <alignment horizontal="left"/>
    </xf>
    <xf numFmtId="0" fontId="29" fillId="7" borderId="19" xfId="0" applyFont="1" applyFill="1" applyBorder="1" applyAlignment="1" applyProtection="1">
      <alignment horizontal="left"/>
    </xf>
    <xf numFmtId="43" fontId="0" fillId="0" borderId="19" xfId="0" applyNumberFormat="1" applyBorder="1" applyAlignment="1" applyProtection="1">
      <alignment horizontal="left"/>
    </xf>
    <xf numFmtId="0" fontId="1" fillId="0" borderId="0" xfId="0" applyFont="1" applyAlignment="1" applyProtection="1">
      <alignment horizontal="left"/>
    </xf>
    <xf numFmtId="0" fontId="25" fillId="8" borderId="19" xfId="0" applyFont="1" applyFill="1" applyBorder="1" applyAlignment="1" applyProtection="1">
      <alignment horizontal="center" vertical="center"/>
    </xf>
    <xf numFmtId="0" fontId="0" fillId="6" borderId="19" xfId="0" applyFill="1" applyBorder="1" applyAlignment="1" applyProtection="1"/>
    <xf numFmtId="0" fontId="0" fillId="0" borderId="19" xfId="0" applyBorder="1" applyAlignment="1" applyProtection="1"/>
    <xf numFmtId="0" fontId="0" fillId="0" borderId="19" xfId="0" applyBorder="1" applyAlignment="1" applyProtection="1">
      <alignment horizontal="center" vertical="center" wrapText="1"/>
    </xf>
    <xf numFmtId="0" fontId="0" fillId="0" borderId="19" xfId="0" applyFill="1" applyBorder="1" applyAlignment="1" applyProtection="1"/>
    <xf numFmtId="0" fontId="32" fillId="0" borderId="19" xfId="0" applyFont="1" applyFill="1" applyBorder="1" applyAlignment="1" applyProtection="1"/>
    <xf numFmtId="0" fontId="0" fillId="11" borderId="15" xfId="0" applyFill="1" applyBorder="1" applyAlignment="1" applyProtection="1">
      <alignment vertical="top"/>
    </xf>
    <xf numFmtId="0" fontId="0" fillId="13" borderId="2" xfId="0" applyFill="1" applyBorder="1" applyProtection="1">
      <protection locked="0"/>
    </xf>
    <xf numFmtId="0" fontId="11" fillId="11" borderId="0" xfId="0" applyFont="1" applyFill="1" applyBorder="1" applyProtection="1"/>
    <xf numFmtId="0" fontId="6" fillId="11" borderId="0" xfId="0" applyFont="1" applyFill="1" applyBorder="1" applyProtection="1"/>
    <xf numFmtId="0" fontId="14" fillId="13" borderId="30" xfId="0" applyFont="1" applyFill="1" applyBorder="1" applyAlignment="1" applyProtection="1">
      <alignment wrapText="1"/>
      <protection locked="0"/>
    </xf>
    <xf numFmtId="0" fontId="14" fillId="13" borderId="19" xfId="0" applyFont="1" applyFill="1" applyBorder="1" applyAlignment="1" applyProtection="1">
      <alignment wrapText="1"/>
      <protection locked="0"/>
    </xf>
    <xf numFmtId="14" fontId="14" fillId="13" borderId="19" xfId="0" applyNumberFormat="1" applyFont="1" applyFill="1" applyBorder="1" applyAlignment="1" applyProtection="1">
      <alignment wrapText="1"/>
      <protection locked="0"/>
    </xf>
    <xf numFmtId="0" fontId="14" fillId="13" borderId="32" xfId="0" applyFont="1" applyFill="1" applyBorder="1" applyAlignment="1" applyProtection="1">
      <alignment wrapText="1"/>
      <protection locked="0"/>
    </xf>
    <xf numFmtId="0" fontId="14" fillId="13" borderId="33" xfId="0" applyFont="1" applyFill="1" applyBorder="1" applyAlignment="1" applyProtection="1">
      <alignment wrapText="1"/>
      <protection locked="0"/>
    </xf>
    <xf numFmtId="0" fontId="14" fillId="13" borderId="34" xfId="0" applyFont="1" applyFill="1" applyBorder="1" applyAlignment="1" applyProtection="1">
      <alignment wrapText="1"/>
      <protection locked="0"/>
    </xf>
    <xf numFmtId="0" fontId="14" fillId="13" borderId="35" xfId="0" applyFont="1" applyFill="1" applyBorder="1" applyAlignment="1" applyProtection="1">
      <alignment wrapText="1"/>
      <protection locked="0"/>
    </xf>
    <xf numFmtId="14" fontId="14" fillId="13" borderId="35" xfId="0" applyNumberFormat="1" applyFont="1" applyFill="1" applyBorder="1" applyAlignment="1" applyProtection="1">
      <alignment wrapText="1"/>
      <protection locked="0"/>
    </xf>
    <xf numFmtId="0" fontId="6" fillId="0" borderId="17" xfId="0" applyFont="1" applyBorder="1" applyAlignment="1" applyProtection="1">
      <alignment vertical="center" wrapText="1"/>
    </xf>
    <xf numFmtId="0" fontId="11" fillId="3" borderId="34" xfId="0" applyFont="1" applyFill="1" applyBorder="1" applyAlignment="1" applyProtection="1">
      <alignment wrapText="1"/>
    </xf>
    <xf numFmtId="3" fontId="0" fillId="13" borderId="19" xfId="0" applyNumberFormat="1" applyFill="1" applyBorder="1" applyAlignment="1" applyProtection="1">
      <alignment horizontal="right"/>
      <protection locked="0"/>
    </xf>
    <xf numFmtId="0" fontId="3" fillId="0" borderId="0" xfId="0" applyFont="1" applyBorder="1" applyAlignment="1" applyProtection="1">
      <alignment vertical="center" wrapText="1"/>
    </xf>
    <xf numFmtId="0" fontId="0" fillId="13" borderId="19" xfId="0" applyFill="1" applyBorder="1" applyAlignment="1" applyProtection="1">
      <alignment vertical="center"/>
    </xf>
    <xf numFmtId="0" fontId="3" fillId="0" borderId="0" xfId="0" applyFont="1" applyFill="1" applyBorder="1" applyAlignment="1" applyProtection="1">
      <alignment vertical="center" wrapText="1"/>
    </xf>
    <xf numFmtId="0" fontId="0" fillId="0" borderId="0" xfId="0" applyFill="1" applyBorder="1" applyAlignment="1" applyProtection="1">
      <alignment vertical="center"/>
    </xf>
    <xf numFmtId="0" fontId="11" fillId="0" borderId="19" xfId="0" applyFont="1" applyFill="1" applyBorder="1" applyProtection="1"/>
    <xf numFmtId="3" fontId="0" fillId="2" borderId="19" xfId="0" applyNumberFormat="1" applyFill="1" applyBorder="1" applyProtection="1"/>
    <xf numFmtId="3" fontId="0" fillId="13" borderId="19" xfId="0" applyNumberFormat="1" applyFill="1" applyBorder="1" applyProtection="1">
      <protection locked="0"/>
    </xf>
    <xf numFmtId="0" fontId="11" fillId="3" borderId="30" xfId="0" applyFont="1" applyFill="1" applyBorder="1" applyAlignment="1" applyProtection="1">
      <alignment wrapText="1"/>
    </xf>
    <xf numFmtId="3" fontId="0" fillId="3" borderId="19" xfId="0" applyNumberFormat="1" applyFill="1" applyBorder="1" applyProtection="1"/>
    <xf numFmtId="3" fontId="0" fillId="3" borderId="6" xfId="0" applyNumberFormat="1" applyFill="1" applyBorder="1" applyProtection="1"/>
    <xf numFmtId="3" fontId="0" fillId="2" borderId="6" xfId="0" applyNumberFormat="1" applyFill="1" applyBorder="1" applyProtection="1"/>
    <xf numFmtId="3" fontId="0" fillId="3" borderId="35" xfId="0" applyNumberFormat="1" applyFill="1" applyBorder="1" applyProtection="1"/>
    <xf numFmtId="3" fontId="0" fillId="3" borderId="20" xfId="0" applyNumberFormat="1" applyFill="1" applyBorder="1" applyProtection="1"/>
    <xf numFmtId="0" fontId="3" fillId="3" borderId="37" xfId="0" applyFont="1" applyFill="1" applyBorder="1" applyProtection="1"/>
    <xf numFmtId="0" fontId="3" fillId="3" borderId="38" xfId="0" applyFont="1" applyFill="1" applyBorder="1" applyProtection="1"/>
    <xf numFmtId="0" fontId="3" fillId="3" borderId="23" xfId="0" applyFont="1" applyFill="1" applyBorder="1" applyProtection="1"/>
    <xf numFmtId="0" fontId="3" fillId="2" borderId="39" xfId="0" applyFont="1" applyFill="1" applyBorder="1" applyAlignment="1" applyProtection="1">
      <alignment wrapText="1"/>
    </xf>
    <xf numFmtId="0" fontId="3" fillId="2" borderId="26" xfId="0" applyFont="1" applyFill="1" applyBorder="1" applyAlignment="1" applyProtection="1">
      <alignment wrapText="1"/>
    </xf>
    <xf numFmtId="0" fontId="2" fillId="13" borderId="36" xfId="0" applyFont="1" applyFill="1" applyBorder="1" applyAlignment="1" applyProtection="1">
      <alignment vertical="center" wrapText="1"/>
      <protection locked="0"/>
    </xf>
    <xf numFmtId="0" fontId="2" fillId="13" borderId="6" xfId="0" applyFont="1" applyFill="1" applyBorder="1" applyAlignment="1" applyProtection="1">
      <alignment vertical="center" wrapText="1"/>
      <protection locked="0"/>
    </xf>
    <xf numFmtId="3" fontId="2" fillId="13" borderId="19" xfId="0" applyNumberFormat="1" applyFont="1" applyFill="1" applyBorder="1" applyAlignment="1" applyProtection="1">
      <alignment horizontal="right" vertical="center" wrapText="1"/>
      <protection locked="0"/>
    </xf>
    <xf numFmtId="3" fontId="2" fillId="13" borderId="6" xfId="0" applyNumberFormat="1" applyFont="1" applyFill="1" applyBorder="1" applyAlignment="1" applyProtection="1">
      <alignment horizontal="right" vertical="center" wrapText="1"/>
      <protection locked="0"/>
    </xf>
    <xf numFmtId="164" fontId="2" fillId="13" borderId="19" xfId="0" applyNumberFormat="1" applyFont="1" applyFill="1" applyBorder="1" applyAlignment="1" applyProtection="1">
      <alignment horizontal="right" vertical="center" wrapText="1"/>
      <protection locked="0"/>
    </xf>
    <xf numFmtId="164" fontId="2" fillId="13" borderId="6" xfId="0" applyNumberFormat="1" applyFont="1" applyFill="1" applyBorder="1" applyAlignment="1" applyProtection="1">
      <alignment horizontal="right" vertical="center" wrapText="1"/>
      <protection locked="0"/>
    </xf>
    <xf numFmtId="0" fontId="3" fillId="3" borderId="26" xfId="0" applyFont="1" applyFill="1" applyBorder="1" applyAlignment="1" applyProtection="1">
      <alignment horizontal="right" vertical="center" wrapText="1"/>
    </xf>
    <xf numFmtId="3" fontId="3" fillId="3" borderId="21" xfId="0" applyNumberFormat="1" applyFont="1" applyFill="1" applyBorder="1" applyProtection="1"/>
    <xf numFmtId="3" fontId="3" fillId="3" borderId="22" xfId="0" applyNumberFormat="1" applyFont="1" applyFill="1" applyBorder="1" applyProtection="1"/>
    <xf numFmtId="0" fontId="2" fillId="13" borderId="30" xfId="0" applyFont="1" applyFill="1" applyBorder="1" applyAlignment="1" applyProtection="1">
      <alignment vertical="center" wrapText="1"/>
      <protection locked="0"/>
    </xf>
    <xf numFmtId="0" fontId="8" fillId="13" borderId="6" xfId="0" applyFont="1" applyFill="1" applyBorder="1" applyAlignment="1" applyProtection="1">
      <alignment horizontal="center" vertical="center" wrapText="1"/>
      <protection locked="0"/>
    </xf>
    <xf numFmtId="0" fontId="5" fillId="13" borderId="36" xfId="9" applyFont="1" applyFill="1" applyBorder="1" applyAlignment="1" applyProtection="1">
      <alignment horizontal="center" vertical="center" wrapText="1"/>
    </xf>
    <xf numFmtId="0" fontId="7" fillId="13" borderId="6" xfId="0" applyFont="1" applyFill="1" applyBorder="1" applyAlignment="1">
      <alignment horizontal="center" vertical="center" wrapText="1"/>
    </xf>
    <xf numFmtId="0" fontId="5" fillId="13" borderId="6" xfId="9" applyFont="1" applyFill="1" applyBorder="1" applyAlignment="1" applyProtection="1">
      <alignment horizontal="center" vertical="center" wrapText="1"/>
    </xf>
    <xf numFmtId="0" fontId="3" fillId="3" borderId="26" xfId="0" applyFont="1" applyFill="1" applyBorder="1" applyAlignment="1" applyProtection="1">
      <alignment horizontal="center" wrapText="1"/>
    </xf>
    <xf numFmtId="0" fontId="0" fillId="11" borderId="0" xfId="0" applyFill="1"/>
    <xf numFmtId="0" fontId="6" fillId="13" borderId="34" xfId="0" applyFont="1" applyFill="1" applyBorder="1" applyAlignment="1" applyProtection="1">
      <alignment wrapText="1"/>
      <protection locked="0"/>
    </xf>
    <xf numFmtId="0" fontId="6" fillId="13" borderId="35" xfId="0" applyFont="1" applyFill="1" applyBorder="1" applyAlignment="1" applyProtection="1">
      <alignment wrapText="1"/>
      <protection locked="0"/>
    </xf>
    <xf numFmtId="0" fontId="6" fillId="13" borderId="30" xfId="0" applyFont="1" applyFill="1" applyBorder="1" applyAlignment="1" applyProtection="1">
      <alignment wrapText="1"/>
      <protection locked="0"/>
    </xf>
    <xf numFmtId="0" fontId="6" fillId="13" borderId="19" xfId="0" applyFont="1" applyFill="1" applyBorder="1" applyAlignment="1" applyProtection="1">
      <alignment wrapText="1"/>
      <protection locked="0"/>
    </xf>
    <xf numFmtId="14" fontId="6" fillId="13" borderId="19" xfId="0" applyNumberFormat="1" applyFont="1" applyFill="1" applyBorder="1" applyAlignment="1" applyProtection="1">
      <alignment wrapText="1"/>
      <protection locked="0"/>
    </xf>
    <xf numFmtId="0" fontId="6" fillId="13" borderId="32" xfId="0" applyFont="1" applyFill="1" applyBorder="1" applyAlignment="1" applyProtection="1">
      <alignment wrapText="1"/>
      <protection locked="0"/>
    </xf>
    <xf numFmtId="0" fontId="6" fillId="13" borderId="33" xfId="0" applyFont="1" applyFill="1" applyBorder="1" applyAlignment="1" applyProtection="1">
      <alignment wrapText="1"/>
      <protection locked="0"/>
    </xf>
    <xf numFmtId="14" fontId="6" fillId="13" borderId="35" xfId="0" applyNumberFormat="1" applyFont="1" applyFill="1" applyBorder="1" applyAlignment="1" applyProtection="1">
      <alignment wrapText="1"/>
      <protection locked="0"/>
    </xf>
    <xf numFmtId="0" fontId="6" fillId="0" borderId="0" xfId="0" applyFont="1" applyFill="1" applyBorder="1" applyAlignment="1" applyProtection="1">
      <alignment horizontal="center" vertical="center"/>
      <protection locked="0"/>
    </xf>
    <xf numFmtId="0" fontId="5" fillId="0" borderId="0" xfId="9" applyBorder="1" applyAlignment="1" applyProtection="1"/>
    <xf numFmtId="0" fontId="3" fillId="3" borderId="17" xfId="0" applyFont="1" applyFill="1" applyBorder="1" applyAlignment="1" applyProtection="1">
      <alignment vertical="center" wrapText="1"/>
    </xf>
    <xf numFmtId="0" fontId="3" fillId="3" borderId="6" xfId="0" applyFont="1" applyFill="1" applyBorder="1" applyAlignment="1" applyProtection="1">
      <alignment horizontal="right" vertical="center" wrapText="1"/>
    </xf>
    <xf numFmtId="0" fontId="3" fillId="3" borderId="30" xfId="0" applyFont="1" applyFill="1" applyBorder="1" applyAlignment="1" applyProtection="1">
      <alignment horizontal="right" vertical="center"/>
    </xf>
    <xf numFmtId="171" fontId="15" fillId="3" borderId="41" xfId="1" applyNumberFormat="1" applyFont="1" applyFill="1" applyBorder="1" applyProtection="1"/>
    <xf numFmtId="0" fontId="24" fillId="0" borderId="9" xfId="0" applyFont="1" applyBorder="1" applyAlignment="1">
      <alignment vertical="top" wrapText="1"/>
    </xf>
    <xf numFmtId="0" fontId="6" fillId="3" borderId="0" xfId="0" applyFont="1" applyFill="1" applyBorder="1"/>
    <xf numFmtId="0" fontId="6" fillId="3" borderId="0" xfId="0" applyFont="1" applyFill="1" applyBorder="1" applyAlignment="1">
      <alignment horizontal="right"/>
    </xf>
    <xf numFmtId="0" fontId="6" fillId="3" borderId="0" xfId="0" applyFont="1" applyFill="1" applyBorder="1" applyAlignment="1">
      <alignment vertical="center" wrapText="1"/>
    </xf>
    <xf numFmtId="0" fontId="6" fillId="0" borderId="11" xfId="0" applyFont="1" applyBorder="1"/>
    <xf numFmtId="0" fontId="6" fillId="0" borderId="12" xfId="0" applyFont="1" applyBorder="1"/>
    <xf numFmtId="0" fontId="6" fillId="0" borderId="12" xfId="0" applyFont="1" applyBorder="1" applyAlignment="1">
      <alignment horizontal="right"/>
    </xf>
    <xf numFmtId="0" fontId="6" fillId="0" borderId="12" xfId="0" applyFont="1" applyBorder="1" applyAlignment="1">
      <alignment vertical="center" wrapText="1"/>
    </xf>
    <xf numFmtId="0" fontId="6" fillId="0" borderId="13" xfId="0" applyFont="1" applyBorder="1"/>
    <xf numFmtId="0" fontId="6" fillId="0" borderId="14" xfId="0" applyFont="1" applyBorder="1"/>
    <xf numFmtId="0" fontId="6" fillId="0" borderId="17" xfId="0" applyFont="1" applyBorder="1"/>
    <xf numFmtId="0" fontId="6" fillId="0" borderId="17" xfId="0" applyFont="1" applyBorder="1" applyAlignment="1">
      <alignment horizontal="right"/>
    </xf>
    <xf numFmtId="0" fontId="6" fillId="0" borderId="17" xfId="0" applyFont="1" applyBorder="1" applyAlignment="1">
      <alignment vertical="center" wrapText="1"/>
    </xf>
    <xf numFmtId="0" fontId="6" fillId="0" borderId="15" xfId="0" applyFont="1" applyBorder="1"/>
    <xf numFmtId="0" fontId="11" fillId="2" borderId="39" xfId="0" applyFont="1" applyFill="1" applyBorder="1" applyAlignment="1" applyProtection="1">
      <alignment vertical="center" wrapText="1"/>
    </xf>
    <xf numFmtId="0" fontId="11" fillId="2" borderId="26" xfId="0" applyFont="1" applyFill="1" applyBorder="1" applyAlignment="1" applyProtection="1">
      <alignment vertical="center" wrapText="1"/>
    </xf>
    <xf numFmtId="0" fontId="11" fillId="0" borderId="14" xfId="0" applyFont="1" applyFill="1" applyBorder="1"/>
    <xf numFmtId="0" fontId="11" fillId="2" borderId="42" xfId="0" applyFont="1" applyFill="1" applyBorder="1" applyAlignment="1">
      <alignment vertical="center"/>
    </xf>
    <xf numFmtId="0" fontId="11" fillId="2" borderId="26" xfId="0" applyFont="1" applyFill="1" applyBorder="1" applyAlignment="1">
      <alignment vertical="center"/>
    </xf>
    <xf numFmtId="0" fontId="11" fillId="0" borderId="15" xfId="0" applyFont="1" applyFill="1" applyBorder="1"/>
    <xf numFmtId="0" fontId="11" fillId="3" borderId="0" xfId="0" applyFont="1" applyFill="1" applyBorder="1"/>
    <xf numFmtId="0" fontId="6" fillId="0" borderId="14" xfId="0" applyFont="1" applyBorder="1" applyAlignment="1">
      <alignment horizontal="center"/>
    </xf>
    <xf numFmtId="0" fontId="11" fillId="2" borderId="20" xfId="0" applyFont="1" applyFill="1" applyBorder="1" applyAlignment="1" applyProtection="1">
      <alignment horizontal="center" vertical="center" wrapText="1"/>
    </xf>
    <xf numFmtId="0" fontId="11" fillId="2" borderId="23" xfId="0" applyFont="1" applyFill="1" applyBorder="1" applyAlignment="1" applyProtection="1">
      <alignment horizontal="center" vertical="center" wrapText="1"/>
    </xf>
    <xf numFmtId="0" fontId="11" fillId="0" borderId="37" xfId="0" applyFont="1" applyFill="1" applyBorder="1" applyAlignment="1">
      <alignment horizontal="center" vertical="center" wrapText="1"/>
    </xf>
    <xf numFmtId="0" fontId="11" fillId="0" borderId="43" xfId="0" applyFont="1" applyFill="1" applyBorder="1" applyAlignment="1">
      <alignment horizontal="center" vertical="center" wrapText="1"/>
    </xf>
    <xf numFmtId="0" fontId="6" fillId="0" borderId="15" xfId="0" applyFont="1" applyBorder="1" applyAlignment="1">
      <alignment horizontal="center"/>
    </xf>
    <xf numFmtId="0" fontId="6" fillId="3" borderId="0" xfId="0" applyFont="1" applyFill="1" applyBorder="1" applyAlignment="1">
      <alignment horizontal="center"/>
    </xf>
    <xf numFmtId="0" fontId="6" fillId="13" borderId="4" xfId="0" applyFont="1" applyFill="1" applyBorder="1" applyAlignment="1">
      <alignment vertical="center" wrapText="1"/>
    </xf>
    <xf numFmtId="0" fontId="6" fillId="13" borderId="36" xfId="0" applyFont="1" applyFill="1" applyBorder="1" applyAlignment="1">
      <alignment vertical="center" wrapText="1"/>
    </xf>
    <xf numFmtId="0" fontId="6" fillId="13" borderId="44" xfId="0" applyFont="1" applyFill="1" applyBorder="1" applyAlignment="1">
      <alignment vertical="center" wrapText="1"/>
    </xf>
    <xf numFmtId="17" fontId="6" fillId="13" borderId="3" xfId="0" applyNumberFormat="1" applyFont="1" applyFill="1" applyBorder="1" applyAlignment="1">
      <alignment horizontal="right" vertical="center" wrapText="1"/>
    </xf>
    <xf numFmtId="3" fontId="6" fillId="13" borderId="45" xfId="0" applyNumberFormat="1" applyFont="1" applyFill="1" applyBorder="1" applyAlignment="1">
      <alignment horizontal="right" vertical="center" wrapText="1"/>
    </xf>
    <xf numFmtId="3" fontId="6" fillId="13" borderId="4" xfId="0" applyNumberFormat="1" applyFont="1" applyFill="1" applyBorder="1" applyAlignment="1">
      <alignment horizontal="right" vertical="center" wrapText="1"/>
    </xf>
    <xf numFmtId="3" fontId="6" fillId="13" borderId="46" xfId="0" applyNumberFormat="1" applyFont="1" applyFill="1" applyBorder="1" applyAlignment="1">
      <alignment horizontal="right" vertical="center" wrapText="1"/>
    </xf>
    <xf numFmtId="3" fontId="6" fillId="13" borderId="40" xfId="0" applyNumberFormat="1" applyFont="1" applyFill="1" applyBorder="1" applyAlignment="1">
      <alignment horizontal="right" vertical="center" wrapText="1"/>
    </xf>
    <xf numFmtId="164" fontId="6" fillId="13" borderId="47" xfId="0" applyNumberFormat="1" applyFont="1" applyFill="1" applyBorder="1" applyAlignment="1">
      <alignment horizontal="right" vertical="center" wrapText="1"/>
    </xf>
    <xf numFmtId="164" fontId="6" fillId="13" borderId="5" xfId="0" applyNumberFormat="1" applyFont="1" applyFill="1" applyBorder="1" applyAlignment="1">
      <alignment horizontal="right" vertical="center" wrapText="1"/>
    </xf>
    <xf numFmtId="164" fontId="6" fillId="13" borderId="36" xfId="0" applyNumberFormat="1" applyFont="1" applyFill="1" applyBorder="1" applyAlignment="1">
      <alignment horizontal="right" vertical="center" wrapText="1"/>
    </xf>
    <xf numFmtId="164" fontId="6" fillId="13" borderId="47" xfId="0" applyNumberFormat="1" applyFont="1" applyFill="1" applyBorder="1" applyAlignment="1">
      <alignment horizontal="center" vertical="center" wrapText="1"/>
    </xf>
    <xf numFmtId="0" fontId="6" fillId="13" borderId="30" xfId="0" applyFont="1" applyFill="1" applyBorder="1" applyAlignment="1">
      <alignment vertical="center" wrapText="1"/>
    </xf>
    <xf numFmtId="0" fontId="6" fillId="13" borderId="19" xfId="0" applyFont="1" applyFill="1" applyBorder="1" applyAlignment="1">
      <alignment vertical="center" wrapText="1"/>
    </xf>
    <xf numFmtId="0" fontId="6" fillId="13" borderId="6" xfId="0" applyFont="1" applyFill="1" applyBorder="1" applyAlignment="1">
      <alignment vertical="center" wrapText="1"/>
    </xf>
    <xf numFmtId="0" fontId="6" fillId="13" borderId="48" xfId="0" applyFont="1" applyFill="1" applyBorder="1" applyAlignment="1">
      <alignment vertical="center" wrapText="1"/>
    </xf>
    <xf numFmtId="17" fontId="6" fillId="13" borderId="30" xfId="0" applyNumberFormat="1" applyFont="1" applyFill="1" applyBorder="1" applyAlignment="1">
      <alignment horizontal="right" vertical="center" wrapText="1"/>
    </xf>
    <xf numFmtId="3" fontId="6" fillId="13" borderId="19" xfId="0" applyNumberFormat="1" applyFont="1" applyFill="1" applyBorder="1" applyAlignment="1">
      <alignment horizontal="right" vertical="center" wrapText="1"/>
    </xf>
    <xf numFmtId="3" fontId="6" fillId="13" borderId="49" xfId="0" applyNumberFormat="1" applyFont="1" applyFill="1" applyBorder="1" applyAlignment="1">
      <alignment horizontal="right" vertical="center" wrapText="1"/>
    </xf>
    <xf numFmtId="3" fontId="6" fillId="13" borderId="36" xfId="0" applyNumberFormat="1" applyFont="1" applyFill="1" applyBorder="1" applyAlignment="1">
      <alignment horizontal="right" vertical="center" wrapText="1"/>
    </xf>
    <xf numFmtId="164" fontId="6" fillId="13" borderId="19" xfId="0" applyNumberFormat="1" applyFont="1" applyFill="1" applyBorder="1" applyAlignment="1">
      <alignment horizontal="right" vertical="center" wrapText="1"/>
    </xf>
    <xf numFmtId="164" fontId="6" fillId="13" borderId="6" xfId="0" applyNumberFormat="1" applyFont="1" applyFill="1" applyBorder="1" applyAlignment="1">
      <alignment horizontal="right" vertical="center" wrapText="1"/>
    </xf>
    <xf numFmtId="0" fontId="6" fillId="13" borderId="50" xfId="0" applyFont="1" applyFill="1" applyBorder="1" applyAlignment="1">
      <alignment vertical="center" wrapText="1"/>
    </xf>
    <xf numFmtId="3" fontId="6" fillId="13" borderId="6" xfId="0" applyNumberFormat="1" applyFont="1" applyFill="1" applyBorder="1" applyAlignment="1">
      <alignment horizontal="right" vertical="center" wrapText="1"/>
    </xf>
    <xf numFmtId="164" fontId="11" fillId="13" borderId="6" xfId="0" applyNumberFormat="1" applyFont="1" applyFill="1" applyBorder="1" applyAlignment="1">
      <alignment horizontal="right" vertical="center" wrapText="1"/>
    </xf>
    <xf numFmtId="0" fontId="6" fillId="13" borderId="6" xfId="0" applyFont="1" applyFill="1" applyBorder="1" applyAlignment="1">
      <alignment horizontal="center" vertical="center" wrapText="1"/>
    </xf>
    <xf numFmtId="0" fontId="6" fillId="13" borderId="30" xfId="0" applyFont="1" applyFill="1" applyBorder="1" applyAlignment="1">
      <alignment vertical="center"/>
    </xf>
    <xf numFmtId="0" fontId="6" fillId="13" borderId="19" xfId="0" applyFont="1" applyFill="1" applyBorder="1" applyAlignment="1">
      <alignment horizontal="right" vertical="center"/>
    </xf>
    <xf numFmtId="164" fontId="6" fillId="13" borderId="6" xfId="0" applyNumberFormat="1" applyFont="1" applyFill="1" applyBorder="1" applyAlignment="1">
      <alignment horizontal="right" vertical="center"/>
    </xf>
    <xf numFmtId="0" fontId="11" fillId="3" borderId="51" xfId="0" applyFont="1" applyFill="1" applyBorder="1" applyAlignment="1">
      <alignment horizontal="right" vertical="center" wrapText="1"/>
    </xf>
    <xf numFmtId="0" fontId="11" fillId="3" borderId="37" xfId="0" applyFont="1" applyFill="1" applyBorder="1" applyAlignment="1">
      <alignment horizontal="right" vertical="center" wrapText="1"/>
    </xf>
    <xf numFmtId="3" fontId="11" fillId="3" borderId="37" xfId="0" applyNumberFormat="1" applyFont="1" applyFill="1" applyBorder="1" applyAlignment="1">
      <alignment vertical="center"/>
    </xf>
    <xf numFmtId="164" fontId="11" fillId="0" borderId="0" xfId="0" applyNumberFormat="1" applyFont="1" applyBorder="1" applyAlignment="1">
      <alignment vertical="center" wrapText="1"/>
    </xf>
    <xf numFmtId="0" fontId="6" fillId="0" borderId="0" xfId="0" applyFont="1" applyBorder="1" applyAlignment="1">
      <alignment vertical="center"/>
    </xf>
    <xf numFmtId="3" fontId="11" fillId="3" borderId="52" xfId="0" applyNumberFormat="1" applyFont="1" applyFill="1" applyBorder="1" applyAlignment="1">
      <alignment vertical="center"/>
    </xf>
    <xf numFmtId="3" fontId="11" fillId="3" borderId="21" xfId="0" applyNumberFormat="1" applyFont="1" applyFill="1" applyBorder="1" applyAlignment="1">
      <alignment vertical="center"/>
    </xf>
    <xf numFmtId="3" fontId="11" fillId="3" borderId="22" xfId="0" applyNumberFormat="1" applyFont="1" applyFill="1" applyBorder="1" applyAlignment="1">
      <alignment horizontal="right" vertical="center"/>
    </xf>
    <xf numFmtId="3" fontId="11" fillId="3" borderId="22" xfId="0" applyNumberFormat="1" applyFont="1" applyFill="1" applyBorder="1" applyAlignment="1">
      <alignment vertical="center"/>
    </xf>
    <xf numFmtId="3" fontId="11" fillId="3" borderId="23" xfId="0" applyNumberFormat="1" applyFont="1" applyFill="1" applyBorder="1" applyAlignment="1">
      <alignment vertical="center"/>
    </xf>
    <xf numFmtId="0" fontId="14" fillId="0" borderId="0" xfId="0" applyFont="1" applyBorder="1" applyAlignment="1">
      <alignment vertical="center"/>
    </xf>
    <xf numFmtId="0" fontId="6" fillId="0" borderId="0" xfId="0" applyFont="1" applyBorder="1" applyAlignment="1">
      <alignment vertical="center" wrapText="1"/>
    </xf>
    <xf numFmtId="0" fontId="6" fillId="0" borderId="16" xfId="0" applyFont="1" applyBorder="1"/>
    <xf numFmtId="0" fontId="6" fillId="0" borderId="18" xfId="0" applyFont="1" applyBorder="1"/>
    <xf numFmtId="0" fontId="11" fillId="2" borderId="39" xfId="0" applyFont="1" applyFill="1" applyBorder="1" applyAlignment="1" applyProtection="1">
      <alignment vertical="center"/>
    </xf>
    <xf numFmtId="0" fontId="11" fillId="2" borderId="26" xfId="0" applyFont="1" applyFill="1" applyBorder="1" applyAlignment="1" applyProtection="1">
      <alignment vertical="center"/>
    </xf>
    <xf numFmtId="164" fontId="11" fillId="3" borderId="37" xfId="0" applyNumberFormat="1" applyFont="1" applyFill="1" applyBorder="1" applyAlignment="1">
      <alignment vertical="center"/>
    </xf>
    <xf numFmtId="0" fontId="38" fillId="0" borderId="0" xfId="9" applyFont="1" applyFill="1" applyBorder="1" applyAlignment="1" applyProtection="1">
      <protection locked="0"/>
    </xf>
    <xf numFmtId="0" fontId="33" fillId="11" borderId="0" xfId="0" applyFont="1" applyFill="1" applyBorder="1" applyAlignment="1" applyProtection="1">
      <alignment horizontal="left" vertical="center" wrapText="1"/>
    </xf>
    <xf numFmtId="0" fontId="20" fillId="0" borderId="53" xfId="0" applyFont="1" applyFill="1" applyBorder="1" applyAlignment="1">
      <alignment wrapText="1"/>
    </xf>
    <xf numFmtId="0" fontId="19" fillId="0" borderId="12" xfId="0" applyFont="1" applyBorder="1" applyAlignment="1">
      <alignment wrapText="1"/>
    </xf>
    <xf numFmtId="0" fontId="0" fillId="0" borderId="54" xfId="0" applyFill="1" applyBorder="1"/>
    <xf numFmtId="0" fontId="0" fillId="0" borderId="54" xfId="0" applyBorder="1"/>
    <xf numFmtId="0" fontId="20" fillId="0" borderId="55" xfId="0" applyFont="1" applyFill="1" applyBorder="1" applyAlignment="1">
      <alignment wrapText="1"/>
    </xf>
    <xf numFmtId="0" fontId="0" fillId="11" borderId="55" xfId="0" applyFill="1" applyBorder="1"/>
    <xf numFmtId="0" fontId="0" fillId="11" borderId="55" xfId="0" applyFill="1" applyBorder="1" applyAlignment="1">
      <alignment wrapText="1"/>
    </xf>
    <xf numFmtId="0" fontId="20" fillId="11" borderId="55" xfId="0" applyFont="1" applyFill="1" applyBorder="1" applyAlignment="1">
      <alignment horizontal="left" wrapText="1"/>
    </xf>
    <xf numFmtId="0" fontId="20" fillId="11" borderId="55" xfId="0" applyFont="1" applyFill="1" applyBorder="1" applyAlignment="1">
      <alignment wrapText="1"/>
    </xf>
    <xf numFmtId="0" fontId="20" fillId="0" borderId="56" xfId="0" applyFont="1" applyFill="1" applyBorder="1" applyAlignment="1">
      <alignment wrapText="1"/>
    </xf>
    <xf numFmtId="0" fontId="19" fillId="11" borderId="55" xfId="0" applyFont="1" applyFill="1" applyBorder="1" applyAlignment="1">
      <alignment horizontal="left" wrapText="1" indent="2"/>
    </xf>
    <xf numFmtId="0" fontId="20" fillId="11" borderId="55" xfId="0" applyFont="1" applyFill="1" applyBorder="1" applyAlignment="1">
      <alignment horizontal="left" wrapText="1" indent="2"/>
    </xf>
    <xf numFmtId="0" fontId="42" fillId="0" borderId="0" xfId="9" applyFont="1" applyBorder="1" applyAlignment="1" applyProtection="1">
      <alignment wrapText="1"/>
    </xf>
    <xf numFmtId="0" fontId="43" fillId="11" borderId="0" xfId="0" applyFont="1" applyFill="1" applyAlignment="1">
      <alignment horizontal="left" wrapText="1" indent="11"/>
    </xf>
    <xf numFmtId="0" fontId="20" fillId="0" borderId="0" xfId="0" applyFont="1" applyBorder="1" applyAlignment="1">
      <alignment horizontal="left" wrapText="1"/>
    </xf>
    <xf numFmtId="0" fontId="42" fillId="0" borderId="0" xfId="9" applyFont="1" applyBorder="1" applyAlignment="1" applyProtection="1">
      <alignment horizontal="left" wrapText="1"/>
    </xf>
    <xf numFmtId="0" fontId="0" fillId="16" borderId="37" xfId="0" applyFill="1" applyBorder="1" applyProtection="1"/>
    <xf numFmtId="0" fontId="0" fillId="3" borderId="17" xfId="0" applyFill="1" applyBorder="1" applyProtection="1"/>
    <xf numFmtId="0" fontId="0" fillId="0" borderId="0" xfId="0" applyNumberFormat="1"/>
    <xf numFmtId="0" fontId="0" fillId="16" borderId="0" xfId="0" applyFill="1" applyProtection="1"/>
    <xf numFmtId="0" fontId="11" fillId="2" borderId="57" xfId="0" applyFont="1" applyFill="1" applyBorder="1" applyAlignment="1" applyProtection="1">
      <alignment horizontal="center" vertical="center" wrapText="1"/>
    </xf>
    <xf numFmtId="0" fontId="6" fillId="13" borderId="47" xfId="0" applyFont="1" applyFill="1" applyBorder="1" applyAlignment="1">
      <alignment vertical="center" wrapText="1"/>
    </xf>
    <xf numFmtId="0" fontId="11" fillId="2" borderId="32" xfId="0" applyFont="1" applyFill="1" applyBorder="1" applyAlignment="1" applyProtection="1">
      <alignment horizontal="center" vertical="center" wrapText="1"/>
    </xf>
    <xf numFmtId="0" fontId="6" fillId="17" borderId="19" xfId="0" applyFont="1" applyFill="1" applyBorder="1"/>
    <xf numFmtId="0" fontId="2" fillId="18" borderId="29" xfId="0" applyFont="1" applyFill="1" applyBorder="1" applyAlignment="1" applyProtection="1">
      <alignment vertical="center" wrapText="1"/>
      <protection locked="0"/>
    </xf>
    <xf numFmtId="0" fontId="6" fillId="0" borderId="0" xfId="0" applyFont="1" applyBorder="1" applyAlignment="1" applyProtection="1">
      <alignment vertical="center" wrapText="1"/>
    </xf>
    <xf numFmtId="0" fontId="6" fillId="11" borderId="0" xfId="0" applyFont="1" applyFill="1" applyBorder="1" applyAlignment="1" applyProtection="1">
      <alignment vertical="center" wrapText="1"/>
    </xf>
    <xf numFmtId="0" fontId="0" fillId="20" borderId="0" xfId="0" applyFill="1"/>
    <xf numFmtId="0" fontId="3" fillId="3" borderId="39" xfId="0" applyFont="1" applyFill="1" applyBorder="1" applyAlignment="1" applyProtection="1">
      <alignment horizontal="right" vertical="center" wrapText="1"/>
    </xf>
    <xf numFmtId="0" fontId="3" fillId="3" borderId="42" xfId="0" applyFont="1" applyFill="1" applyBorder="1" applyAlignment="1" applyProtection="1">
      <alignment horizontal="center" wrapText="1"/>
    </xf>
    <xf numFmtId="0" fontId="3" fillId="3" borderId="39" xfId="0" applyFont="1" applyFill="1" applyBorder="1" applyAlignment="1" applyProtection="1">
      <alignment horizontal="center" wrapText="1"/>
    </xf>
    <xf numFmtId="0" fontId="3" fillId="0" borderId="12" xfId="0" applyFont="1" applyFill="1" applyBorder="1" applyAlignment="1" applyProtection="1">
      <alignment vertical="center"/>
    </xf>
    <xf numFmtId="0" fontId="55" fillId="0" borderId="0" xfId="0" applyFont="1" applyFill="1" applyBorder="1" applyProtection="1"/>
    <xf numFmtId="0" fontId="3" fillId="21" borderId="0" xfId="0" applyFont="1" applyFill="1" applyBorder="1" applyAlignment="1" applyProtection="1">
      <alignment vertical="center"/>
    </xf>
    <xf numFmtId="0" fontId="2" fillId="21" borderId="0" xfId="0" applyFont="1" applyFill="1" applyBorder="1" applyProtection="1"/>
    <xf numFmtId="0" fontId="3" fillId="0" borderId="14" xfId="0" applyFont="1" applyFill="1" applyBorder="1" applyAlignment="1" applyProtection="1">
      <alignment vertical="center"/>
    </xf>
    <xf numFmtId="0" fontId="3" fillId="0" borderId="15" xfId="0" applyFont="1" applyFill="1" applyBorder="1" applyAlignment="1" applyProtection="1">
      <alignment vertical="center"/>
    </xf>
    <xf numFmtId="0" fontId="56" fillId="17" borderId="19" xfId="0" applyFont="1" applyFill="1" applyBorder="1" applyAlignment="1">
      <alignment horizontal="center" vertical="center" wrapText="1"/>
    </xf>
    <xf numFmtId="0" fontId="56" fillId="17" borderId="19" xfId="0" applyFont="1" applyFill="1" applyBorder="1" applyAlignment="1" applyProtection="1">
      <alignment vertical="center" wrapText="1"/>
      <protection locked="0"/>
    </xf>
    <xf numFmtId="174" fontId="56" fillId="17" borderId="19" xfId="0" applyNumberFormat="1" applyFont="1" applyFill="1" applyBorder="1" applyAlignment="1">
      <alignment horizontal="center" vertical="center" wrapText="1"/>
    </xf>
    <xf numFmtId="3" fontId="56" fillId="17" borderId="19" xfId="0" applyNumberFormat="1" applyFont="1" applyFill="1" applyBorder="1" applyAlignment="1">
      <alignment horizontal="center" vertical="center" wrapText="1"/>
    </xf>
    <xf numFmtId="3" fontId="57" fillId="17" borderId="19" xfId="0" applyNumberFormat="1" applyFont="1" applyFill="1" applyBorder="1" applyAlignment="1">
      <alignment horizontal="center" vertical="center" wrapText="1"/>
    </xf>
    <xf numFmtId="164" fontId="58" fillId="17" borderId="19" xfId="0" applyNumberFormat="1" applyFont="1" applyFill="1" applyBorder="1" applyAlignment="1">
      <alignment horizontal="center" vertical="center" wrapText="1"/>
    </xf>
    <xf numFmtId="0" fontId="58" fillId="17" borderId="19" xfId="11" applyFont="1" applyFill="1" applyBorder="1" applyAlignment="1" applyProtection="1">
      <alignment horizontal="left" vertical="center" wrapText="1"/>
    </xf>
    <xf numFmtId="164" fontId="50" fillId="17" borderId="19" xfId="0" applyNumberFormat="1" applyFont="1" applyFill="1" applyBorder="1" applyAlignment="1">
      <alignment horizontal="center" vertical="center" wrapText="1"/>
    </xf>
    <xf numFmtId="0" fontId="50" fillId="17" borderId="19" xfId="11" applyFont="1" applyFill="1" applyBorder="1" applyAlignment="1" applyProtection="1">
      <alignment horizontal="left" vertical="center" wrapText="1"/>
    </xf>
    <xf numFmtId="0" fontId="3" fillId="3" borderId="0" xfId="0" applyFont="1" applyFill="1" applyBorder="1" applyProtection="1"/>
    <xf numFmtId="0" fontId="3" fillId="0" borderId="14" xfId="0" applyFont="1" applyBorder="1" applyProtection="1"/>
    <xf numFmtId="0" fontId="51" fillId="17" borderId="19" xfId="0" applyFont="1" applyFill="1" applyBorder="1" applyAlignment="1">
      <alignment vertical="center" wrapText="1"/>
    </xf>
    <xf numFmtId="0" fontId="51" fillId="17" borderId="19" xfId="0" applyFont="1" applyFill="1" applyBorder="1" applyProtection="1"/>
    <xf numFmtId="0" fontId="51" fillId="17" borderId="19" xfId="0" applyFont="1" applyFill="1" applyBorder="1" applyAlignment="1">
      <alignment horizontal="center" vertical="center" wrapText="1"/>
    </xf>
    <xf numFmtId="0" fontId="51" fillId="17" borderId="19" xfId="0" applyFont="1" applyFill="1" applyBorder="1" applyAlignment="1" applyProtection="1">
      <alignment vertical="center" wrapText="1"/>
      <protection locked="0"/>
    </xf>
    <xf numFmtId="3" fontId="51" fillId="17" borderId="19" xfId="0" applyNumberFormat="1" applyFont="1" applyFill="1" applyBorder="1" applyAlignment="1">
      <alignment horizontal="center" vertical="center" wrapText="1"/>
    </xf>
    <xf numFmtId="0" fontId="3" fillId="0" borderId="15" xfId="0" applyFont="1" applyBorder="1" applyProtection="1"/>
    <xf numFmtId="0" fontId="2" fillId="13" borderId="19" xfId="0" applyFont="1" applyFill="1" applyBorder="1" applyAlignment="1" applyProtection="1">
      <alignment vertical="center" wrapText="1"/>
      <protection locked="0"/>
    </xf>
    <xf numFmtId="0" fontId="2" fillId="13" borderId="19" xfId="0" applyFont="1" applyFill="1" applyBorder="1" applyAlignment="1" applyProtection="1">
      <alignment horizontal="right" vertical="center" wrapText="1"/>
      <protection locked="0"/>
    </xf>
    <xf numFmtId="0" fontId="3" fillId="3" borderId="16" xfId="0" applyFont="1" applyFill="1" applyBorder="1" applyAlignment="1" applyProtection="1">
      <alignment horizontal="right" vertical="center" wrapText="1"/>
    </xf>
    <xf numFmtId="0" fontId="3" fillId="3" borderId="18" xfId="0" applyFont="1" applyFill="1" applyBorder="1" applyAlignment="1" applyProtection="1">
      <alignment horizontal="right" vertical="center" wrapText="1"/>
    </xf>
    <xf numFmtId="0" fontId="3" fillId="3" borderId="17" xfId="0" applyFont="1" applyFill="1" applyBorder="1" applyAlignment="1" applyProtection="1">
      <alignment horizontal="right" vertical="center" wrapText="1"/>
    </xf>
    <xf numFmtId="3" fontId="3" fillId="3" borderId="37" xfId="0" applyNumberFormat="1" applyFont="1" applyFill="1" applyBorder="1" applyProtection="1"/>
    <xf numFmtId="3" fontId="3" fillId="3" borderId="38" xfId="0" applyNumberFormat="1" applyFont="1" applyFill="1" applyBorder="1" applyProtection="1"/>
    <xf numFmtId="0" fontId="59" fillId="3" borderId="31" xfId="0" applyFont="1" applyFill="1" applyBorder="1" applyProtection="1"/>
    <xf numFmtId="0" fontId="59" fillId="3" borderId="38" xfId="0" applyFont="1" applyFill="1" applyBorder="1" applyProtection="1"/>
    <xf numFmtId="0" fontId="3" fillId="3" borderId="42" xfId="0" applyFont="1" applyFill="1" applyBorder="1" applyAlignment="1" applyProtection="1">
      <alignment horizontal="right" vertical="center" wrapText="1"/>
    </xf>
    <xf numFmtId="3" fontId="3" fillId="3" borderId="0" xfId="0" applyNumberFormat="1" applyFont="1" applyFill="1" applyBorder="1" applyProtection="1"/>
    <xf numFmtId="0" fontId="55" fillId="0" borderId="0" xfId="0" applyFont="1" applyFill="1" applyBorder="1" applyAlignment="1" applyProtection="1">
      <alignment vertical="center"/>
    </xf>
    <xf numFmtId="0" fontId="20" fillId="11" borderId="0" xfId="0" applyFont="1" applyFill="1" applyBorder="1" applyAlignment="1">
      <alignment horizontal="left" wrapText="1" indent="11"/>
    </xf>
    <xf numFmtId="0" fontId="11" fillId="0" borderId="0" xfId="0" applyFont="1"/>
    <xf numFmtId="0" fontId="0" fillId="0" borderId="0" xfId="0" applyProtection="1">
      <protection locked="0"/>
    </xf>
    <xf numFmtId="0" fontId="0" fillId="0" borderId="0" xfId="0" applyBorder="1" applyProtection="1">
      <protection locked="0"/>
    </xf>
    <xf numFmtId="0" fontId="6" fillId="0" borderId="30" xfId="0" applyFont="1" applyBorder="1" applyProtection="1">
      <protection locked="0"/>
    </xf>
    <xf numFmtId="0" fontId="47" fillId="16" borderId="0" xfId="0" applyFont="1" applyFill="1" applyBorder="1" applyAlignment="1" applyProtection="1">
      <alignment horizontal="center"/>
    </xf>
    <xf numFmtId="0" fontId="6" fillId="16" borderId="0" xfId="0" applyFont="1" applyFill="1" applyBorder="1" applyAlignment="1" applyProtection="1">
      <alignment horizontal="center" vertical="center"/>
      <protection locked="0"/>
    </xf>
    <xf numFmtId="0" fontId="12" fillId="16" borderId="0" xfId="0" applyFont="1" applyFill="1" applyBorder="1" applyAlignment="1" applyProtection="1">
      <alignment horizontal="left" vertical="top" wrapText="1"/>
    </xf>
    <xf numFmtId="0" fontId="0" fillId="16" borderId="11" xfId="0" applyFill="1" applyBorder="1"/>
    <xf numFmtId="0" fontId="0" fillId="16" borderId="13" xfId="0" applyFill="1" applyBorder="1"/>
    <xf numFmtId="0" fontId="0" fillId="16" borderId="14" xfId="0" applyFill="1" applyBorder="1"/>
    <xf numFmtId="0" fontId="0" fillId="16" borderId="15" xfId="0" applyFill="1" applyBorder="1"/>
    <xf numFmtId="0" fontId="0" fillId="16" borderId="0" xfId="0" applyFill="1" applyBorder="1" applyAlignment="1">
      <alignment horizontal="center"/>
    </xf>
    <xf numFmtId="0" fontId="0" fillId="16" borderId="0" xfId="0" applyFill="1" applyBorder="1"/>
    <xf numFmtId="0" fontId="10" fillId="16" borderId="0" xfId="0" applyFont="1" applyFill="1" applyBorder="1"/>
    <xf numFmtId="0" fontId="0" fillId="16" borderId="16" xfId="0" applyFill="1" applyBorder="1"/>
    <xf numFmtId="0" fontId="0" fillId="16" borderId="18" xfId="0" applyFill="1" applyBorder="1"/>
    <xf numFmtId="0" fontId="6" fillId="28" borderId="31" xfId="0" applyFont="1" applyFill="1" applyBorder="1" applyAlignment="1" applyProtection="1">
      <alignment horizontal="center" vertical="center"/>
      <protection locked="0"/>
    </xf>
    <xf numFmtId="0" fontId="0" fillId="21" borderId="0" xfId="0" applyFill="1"/>
    <xf numFmtId="0" fontId="0" fillId="30" borderId="0" xfId="0" applyFill="1"/>
    <xf numFmtId="0" fontId="0" fillId="21" borderId="0" xfId="0" applyNumberFormat="1" applyFill="1"/>
    <xf numFmtId="0" fontId="0" fillId="0" borderId="0" xfId="0" applyFill="1" applyProtection="1"/>
    <xf numFmtId="165" fontId="15" fillId="17" borderId="39" xfId="0" applyNumberFormat="1" applyFont="1" applyFill="1" applyBorder="1" applyAlignment="1" applyProtection="1">
      <alignment horizontal="center" vertical="center"/>
      <protection locked="0"/>
    </xf>
    <xf numFmtId="0" fontId="6" fillId="17" borderId="31" xfId="0" applyFont="1" applyFill="1" applyBorder="1" applyAlignment="1" applyProtection="1">
      <alignment vertical="center"/>
      <protection locked="0"/>
    </xf>
    <xf numFmtId="0" fontId="11" fillId="27" borderId="30" xfId="0" applyFont="1" applyFill="1" applyBorder="1" applyProtection="1"/>
    <xf numFmtId="0" fontId="2" fillId="14" borderId="36" xfId="0" applyFont="1" applyFill="1" applyBorder="1" applyAlignment="1" applyProtection="1">
      <alignment horizontal="center" vertical="center" wrapText="1"/>
      <protection locked="0"/>
    </xf>
    <xf numFmtId="0" fontId="15" fillId="0" borderId="0" xfId="0" applyFont="1" applyBorder="1" applyProtection="1"/>
    <xf numFmtId="0" fontId="2" fillId="27" borderId="36" xfId="0" applyFont="1" applyFill="1" applyBorder="1" applyAlignment="1" applyProtection="1">
      <alignment vertical="center" wrapText="1"/>
      <protection locked="0"/>
    </xf>
    <xf numFmtId="0" fontId="3" fillId="0" borderId="0" xfId="0" applyFont="1" applyFill="1" applyBorder="1" applyAlignment="1" applyProtection="1">
      <alignment horizontal="left" vertical="center" wrapText="1"/>
    </xf>
    <xf numFmtId="0" fontId="0" fillId="31" borderId="0" xfId="0" applyFill="1" applyBorder="1" applyProtection="1"/>
    <xf numFmtId="0" fontId="3" fillId="31" borderId="0" xfId="0" applyFont="1" applyFill="1" applyBorder="1" applyAlignment="1" applyProtection="1">
      <alignment vertical="center" wrapText="1"/>
    </xf>
    <xf numFmtId="0" fontId="3" fillId="31" borderId="0" xfId="0" applyFont="1" applyFill="1" applyBorder="1" applyAlignment="1" applyProtection="1">
      <alignment horizontal="left" vertical="center" wrapText="1"/>
    </xf>
    <xf numFmtId="0" fontId="11" fillId="11" borderId="19" xfId="0" applyFont="1" applyFill="1" applyBorder="1" applyAlignment="1" applyProtection="1">
      <alignment horizontal="center" wrapText="1"/>
    </xf>
    <xf numFmtId="0" fontId="11" fillId="3" borderId="6" xfId="0" applyFont="1" applyFill="1" applyBorder="1" applyAlignment="1" applyProtection="1">
      <alignment horizontal="center" wrapText="1"/>
    </xf>
    <xf numFmtId="0" fontId="20" fillId="0" borderId="0" xfId="0" applyFont="1" applyBorder="1" applyAlignment="1">
      <alignment horizontal="left" wrapText="1" indent="4"/>
    </xf>
    <xf numFmtId="0" fontId="20" fillId="27" borderId="0" xfId="0" applyFont="1" applyFill="1" applyBorder="1" applyAlignment="1">
      <alignment horizontal="left" wrapText="1" indent="4"/>
    </xf>
    <xf numFmtId="0" fontId="11" fillId="0" borderId="0" xfId="0" applyFont="1" applyBorder="1" applyAlignment="1" applyProtection="1">
      <alignment wrapText="1"/>
    </xf>
    <xf numFmtId="0" fontId="0" fillId="16" borderId="0" xfId="0" applyFill="1" applyBorder="1" applyProtection="1"/>
    <xf numFmtId="0" fontId="3" fillId="3" borderId="0" xfId="0" applyFont="1" applyFill="1" applyBorder="1" applyAlignment="1" applyProtection="1">
      <alignment wrapText="1"/>
    </xf>
    <xf numFmtId="0" fontId="3" fillId="16" borderId="0" xfId="0" applyFont="1" applyFill="1" applyBorder="1" applyAlignment="1" applyProtection="1">
      <alignment wrapText="1"/>
    </xf>
    <xf numFmtId="0" fontId="2" fillId="16" borderId="0" xfId="0" applyFont="1" applyFill="1" applyBorder="1" applyProtection="1"/>
    <xf numFmtId="0" fontId="20" fillId="0" borderId="0" xfId="0" applyNumberFormat="1" applyFont="1" applyBorder="1" applyAlignment="1">
      <alignment wrapText="1"/>
    </xf>
    <xf numFmtId="0" fontId="11" fillId="0" borderId="0" xfId="0" applyFont="1" applyBorder="1" applyAlignment="1">
      <alignment vertical="center"/>
    </xf>
    <xf numFmtId="0" fontId="0" fillId="0" borderId="0" xfId="0" applyFill="1" applyBorder="1"/>
    <xf numFmtId="0" fontId="0" fillId="0" borderId="0" xfId="0" applyFill="1"/>
    <xf numFmtId="0" fontId="11" fillId="0" borderId="0" xfId="0" applyFont="1" applyFill="1" applyAlignment="1">
      <alignment horizontal="left" vertical="center" wrapText="1"/>
    </xf>
    <xf numFmtId="0" fontId="0" fillId="31" borderId="0" xfId="0" applyFill="1"/>
    <xf numFmtId="0" fontId="6"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0" fillId="21" borderId="0" xfId="0" applyFill="1" applyBorder="1"/>
    <xf numFmtId="0" fontId="0" fillId="16" borderId="12" xfId="0" applyFill="1" applyBorder="1"/>
    <xf numFmtId="0" fontId="0" fillId="16" borderId="0" xfId="0" applyNumberFormat="1" applyFill="1" applyBorder="1"/>
    <xf numFmtId="0" fontId="11" fillId="19" borderId="30" xfId="0" applyFont="1" applyFill="1" applyBorder="1" applyProtection="1"/>
    <xf numFmtId="0" fontId="11" fillId="3" borderId="30" xfId="0" applyFont="1" applyFill="1" applyBorder="1" applyAlignment="1" applyProtection="1">
      <alignment vertical="center" wrapText="1"/>
    </xf>
    <xf numFmtId="0" fontId="11" fillId="19" borderId="30" xfId="0" applyFont="1" applyFill="1" applyBorder="1" applyAlignment="1" applyProtection="1">
      <alignment horizontal="left" vertical="center" wrapText="1"/>
    </xf>
    <xf numFmtId="0" fontId="11" fillId="19" borderId="30" xfId="0" applyFont="1" applyFill="1" applyBorder="1" applyAlignment="1" applyProtection="1">
      <alignment vertical="center" wrapText="1"/>
    </xf>
    <xf numFmtId="0" fontId="0" fillId="0" borderId="65" xfId="0" applyBorder="1" applyProtection="1"/>
    <xf numFmtId="0" fontId="0" fillId="0" borderId="64" xfId="0" applyBorder="1" applyProtection="1"/>
    <xf numFmtId="0" fontId="3" fillId="16" borderId="64" xfId="0" applyFont="1" applyFill="1" applyBorder="1" applyAlignment="1" applyProtection="1">
      <alignment horizontal="left" vertical="center" wrapText="1"/>
    </xf>
    <xf numFmtId="0" fontId="59" fillId="0" borderId="64" xfId="0" applyFont="1" applyFill="1" applyBorder="1" applyAlignment="1" applyProtection="1">
      <alignment horizontal="left" vertical="center" wrapText="1"/>
    </xf>
    <xf numFmtId="0" fontId="3" fillId="16" borderId="64" xfId="0" applyFont="1" applyFill="1" applyBorder="1" applyAlignment="1" applyProtection="1">
      <alignment wrapText="1"/>
    </xf>
    <xf numFmtId="0" fontId="11" fillId="0" borderId="64" xfId="0" applyFont="1" applyBorder="1" applyAlignment="1" applyProtection="1">
      <alignment wrapText="1"/>
    </xf>
    <xf numFmtId="0" fontId="0" fillId="11" borderId="64" xfId="0" applyFill="1" applyBorder="1" applyProtection="1"/>
    <xf numFmtId="0" fontId="0" fillId="16" borderId="16" xfId="0" applyFill="1" applyBorder="1" applyProtection="1"/>
    <xf numFmtId="3" fontId="0" fillId="13" borderId="19" xfId="0" applyNumberFormat="1" applyFill="1" applyBorder="1" applyAlignment="1" applyProtection="1">
      <alignment horizontal="right"/>
    </xf>
    <xf numFmtId="0" fontId="11" fillId="16" borderId="15" xfId="0" applyFont="1" applyFill="1" applyBorder="1" applyAlignment="1" applyProtection="1">
      <alignment wrapText="1"/>
    </xf>
    <xf numFmtId="0" fontId="0" fillId="16" borderId="15" xfId="0" applyFill="1" applyBorder="1" applyProtection="1"/>
    <xf numFmtId="0" fontId="11" fillId="16" borderId="0" xfId="0" applyFont="1" applyFill="1" applyBorder="1" applyAlignment="1" applyProtection="1">
      <alignment wrapText="1"/>
    </xf>
    <xf numFmtId="0" fontId="0" fillId="3" borderId="12" xfId="0" applyFill="1" applyBorder="1" applyProtection="1"/>
    <xf numFmtId="0" fontId="11" fillId="0" borderId="3" xfId="0" applyFont="1" applyBorder="1" applyAlignment="1" applyProtection="1">
      <alignment horizontal="center" wrapText="1"/>
    </xf>
    <xf numFmtId="0" fontId="11" fillId="0" borderId="4" xfId="0" applyFont="1" applyBorder="1" applyAlignment="1" applyProtection="1">
      <alignment horizontal="center" wrapText="1"/>
    </xf>
    <xf numFmtId="0" fontId="11" fillId="0" borderId="4" xfId="0" applyFont="1" applyFill="1" applyBorder="1" applyAlignment="1" applyProtection="1">
      <alignment horizontal="center" wrapText="1"/>
    </xf>
    <xf numFmtId="0" fontId="38" fillId="16" borderId="0" xfId="9" applyFont="1" applyFill="1" applyBorder="1" applyAlignment="1" applyProtection="1">
      <alignment vertical="center" wrapText="1"/>
    </xf>
    <xf numFmtId="0" fontId="11" fillId="0" borderId="40" xfId="0" applyFont="1" applyBorder="1" applyAlignment="1" applyProtection="1">
      <alignment horizontal="center" wrapText="1"/>
    </xf>
    <xf numFmtId="0" fontId="0" fillId="16" borderId="0" xfId="0" applyFill="1"/>
    <xf numFmtId="0" fontId="0" fillId="3" borderId="15" xfId="0" applyFill="1" applyBorder="1"/>
    <xf numFmtId="1" fontId="0" fillId="0" borderId="0" xfId="0" applyNumberFormat="1"/>
    <xf numFmtId="0" fontId="11" fillId="15" borderId="30" xfId="0" applyFont="1" applyFill="1" applyBorder="1" applyAlignment="1" applyProtection="1">
      <alignment vertical="center" wrapText="1"/>
    </xf>
    <xf numFmtId="0" fontId="11" fillId="15" borderId="51" xfId="0" applyFont="1" applyFill="1" applyBorder="1" applyAlignment="1" applyProtection="1">
      <alignment vertical="center" wrapText="1"/>
    </xf>
    <xf numFmtId="0" fontId="11" fillId="25" borderId="19" xfId="0" applyFont="1" applyFill="1" applyBorder="1" applyAlignment="1" applyProtection="1">
      <alignment wrapText="1"/>
    </xf>
    <xf numFmtId="3" fontId="0" fillId="17" borderId="19" xfId="0" applyNumberFormat="1" applyFill="1" applyBorder="1" applyProtection="1">
      <protection locked="0"/>
    </xf>
    <xf numFmtId="3" fontId="6" fillId="17" borderId="19" xfId="0" applyNumberFormat="1" applyFont="1" applyFill="1" applyBorder="1" applyProtection="1">
      <protection locked="0"/>
    </xf>
    <xf numFmtId="0" fontId="6" fillId="17" borderId="19" xfId="0" applyFont="1" applyFill="1" applyBorder="1" applyProtection="1">
      <protection locked="0"/>
    </xf>
    <xf numFmtId="0" fontId="0" fillId="17" borderId="19" xfId="0" applyFill="1" applyBorder="1" applyProtection="1">
      <protection locked="0"/>
    </xf>
    <xf numFmtId="0" fontId="11" fillId="35" borderId="6" xfId="0" applyFont="1" applyFill="1" applyBorder="1" applyAlignment="1" applyProtection="1">
      <alignment wrapText="1"/>
    </xf>
    <xf numFmtId="0" fontId="11" fillId="35" borderId="19" xfId="0" applyFont="1" applyFill="1" applyBorder="1" applyAlignment="1" applyProtection="1">
      <alignment horizontal="left" wrapText="1"/>
    </xf>
    <xf numFmtId="0" fontId="11" fillId="35" borderId="19" xfId="0" applyFont="1" applyFill="1" applyBorder="1" applyAlignment="1" applyProtection="1">
      <alignment wrapText="1"/>
    </xf>
    <xf numFmtId="0" fontId="6" fillId="0" borderId="34" xfId="0" applyFont="1" applyBorder="1" applyProtection="1">
      <protection locked="0"/>
    </xf>
    <xf numFmtId="2" fontId="0" fillId="36" borderId="67" xfId="0" applyNumberFormat="1" applyFill="1" applyBorder="1" applyAlignment="1" applyProtection="1"/>
    <xf numFmtId="0" fontId="0" fillId="36" borderId="69" xfId="0" applyFill="1" applyBorder="1" applyAlignment="1" applyProtection="1"/>
    <xf numFmtId="0" fontId="0" fillId="36" borderId="68" xfId="0" applyFill="1" applyBorder="1" applyAlignment="1" applyProtection="1"/>
    <xf numFmtId="2" fontId="0" fillId="36" borderId="33" xfId="0" applyNumberFormat="1" applyFill="1" applyBorder="1" applyAlignment="1" applyProtection="1"/>
    <xf numFmtId="2" fontId="0" fillId="36" borderId="33" xfId="0" applyNumberFormat="1" applyFill="1" applyBorder="1" applyAlignment="1" applyProtection="1">
      <alignment horizontal="center"/>
    </xf>
    <xf numFmtId="0" fontId="0" fillId="36" borderId="68" xfId="0" applyFill="1" applyBorder="1" applyAlignment="1" applyProtection="1">
      <alignment horizontal="center"/>
    </xf>
    <xf numFmtId="0" fontId="11" fillId="25" borderId="30" xfId="0" applyFont="1" applyFill="1" applyBorder="1" applyAlignment="1" applyProtection="1">
      <alignment wrapText="1"/>
    </xf>
    <xf numFmtId="0" fontId="11" fillId="26" borderId="30" xfId="0" applyFont="1" applyFill="1" applyBorder="1" applyAlignment="1" applyProtection="1">
      <alignment horizontal="left"/>
    </xf>
    <xf numFmtId="0" fontId="11" fillId="33" borderId="30" xfId="0" applyFont="1" applyFill="1" applyBorder="1" applyAlignment="1" applyProtection="1">
      <alignment horizontal="left"/>
    </xf>
    <xf numFmtId="0" fontId="11" fillId="34" borderId="30" xfId="0" applyFont="1" applyFill="1" applyBorder="1" applyAlignment="1" applyProtection="1">
      <alignment horizontal="left"/>
    </xf>
    <xf numFmtId="1" fontId="0" fillId="36" borderId="38" xfId="0" applyNumberFormat="1" applyFill="1" applyBorder="1" applyAlignment="1" applyProtection="1">
      <alignment horizontal="center"/>
    </xf>
    <xf numFmtId="1" fontId="0" fillId="36" borderId="5" xfId="0" applyNumberFormat="1" applyFill="1" applyBorder="1" applyAlignment="1" applyProtection="1">
      <alignment horizontal="center"/>
    </xf>
    <xf numFmtId="1" fontId="0" fillId="36" borderId="43" xfId="0" applyNumberFormat="1" applyFill="1" applyBorder="1" applyAlignment="1" applyProtection="1">
      <alignment horizontal="center"/>
    </xf>
    <xf numFmtId="1" fontId="0" fillId="36" borderId="36" xfId="0" applyNumberFormat="1" applyFill="1" applyBorder="1" applyAlignment="1" applyProtection="1">
      <alignment horizontal="center"/>
    </xf>
    <xf numFmtId="1" fontId="0" fillId="15" borderId="19" xfId="0" applyNumberFormat="1" applyFill="1" applyBorder="1" applyProtection="1"/>
    <xf numFmtId="1" fontId="0" fillId="15" borderId="35" xfId="0" applyNumberFormat="1" applyFill="1" applyBorder="1" applyProtection="1"/>
    <xf numFmtId="9" fontId="0" fillId="15" borderId="19" xfId="0" applyNumberFormat="1" applyFill="1" applyBorder="1" applyProtection="1"/>
    <xf numFmtId="9" fontId="0" fillId="15" borderId="35" xfId="0" applyNumberFormat="1" applyFill="1" applyBorder="1" applyProtection="1"/>
    <xf numFmtId="0" fontId="10" fillId="16" borderId="0" xfId="0" applyFont="1" applyFill="1" applyBorder="1" applyAlignment="1">
      <alignment horizontal="left" wrapText="1"/>
    </xf>
    <xf numFmtId="0" fontId="0" fillId="16" borderId="0" xfId="0" applyFill="1" applyBorder="1" applyAlignment="1">
      <alignment horizontal="center" vertical="center"/>
    </xf>
    <xf numFmtId="0" fontId="0" fillId="21" borderId="17" xfId="0" applyFill="1" applyBorder="1" applyAlignment="1">
      <alignment horizontal="center"/>
    </xf>
    <xf numFmtId="0" fontId="0" fillId="21" borderId="0" xfId="0" applyFill="1" applyBorder="1" applyAlignment="1">
      <alignment horizontal="center"/>
    </xf>
    <xf numFmtId="0" fontId="12" fillId="21" borderId="0" xfId="0" applyFont="1" applyFill="1" applyBorder="1" applyAlignment="1" applyProtection="1">
      <alignment horizontal="left" vertical="top" wrapText="1"/>
    </xf>
    <xf numFmtId="0" fontId="14" fillId="16" borderId="0" xfId="0" applyFont="1" applyFill="1" applyBorder="1" applyAlignment="1">
      <alignment wrapText="1"/>
    </xf>
    <xf numFmtId="0" fontId="14" fillId="0" borderId="0" xfId="0" applyFont="1" applyBorder="1" applyAlignment="1">
      <alignment wrapText="1"/>
    </xf>
    <xf numFmtId="0" fontId="14" fillId="0" borderId="12" xfId="0" applyFont="1" applyBorder="1" applyAlignment="1">
      <alignment wrapText="1"/>
    </xf>
    <xf numFmtId="0" fontId="14" fillId="16" borderId="17" xfId="0" applyFont="1" applyFill="1" applyBorder="1" applyAlignment="1">
      <alignment wrapText="1"/>
    </xf>
    <xf numFmtId="0" fontId="0" fillId="0" borderId="0" xfId="0" applyFill="1" applyBorder="1" applyProtection="1">
      <protection locked="0"/>
    </xf>
    <xf numFmtId="14" fontId="0" fillId="0" borderId="0" xfId="0" applyNumberFormat="1" applyFill="1" applyBorder="1" applyProtection="1">
      <protection locked="0"/>
    </xf>
    <xf numFmtId="0" fontId="0" fillId="0" borderId="0" xfId="0" applyNumberFormat="1" applyFill="1" applyBorder="1" applyProtection="1">
      <protection locked="0"/>
    </xf>
    <xf numFmtId="0" fontId="0" fillId="16" borderId="0" xfId="0" applyFill="1" applyBorder="1" applyProtection="1">
      <protection locked="0"/>
    </xf>
    <xf numFmtId="0" fontId="0" fillId="0" borderId="0" xfId="0" applyFill="1" applyBorder="1" applyAlignment="1" applyProtection="1">
      <alignment horizontal="left" vertical="top" wrapText="1"/>
      <protection locked="0"/>
    </xf>
    <xf numFmtId="1" fontId="0" fillId="19" borderId="19" xfId="0" applyNumberFormat="1" applyFill="1" applyBorder="1" applyProtection="1">
      <protection locked="0"/>
    </xf>
    <xf numFmtId="1" fontId="11" fillId="19" borderId="19" xfId="0" applyNumberFormat="1" applyFont="1" applyFill="1" applyBorder="1" applyAlignment="1" applyProtection="1">
      <alignment horizontal="left" vertical="center" wrapText="1"/>
      <protection locked="0"/>
    </xf>
    <xf numFmtId="1" fontId="11" fillId="19" borderId="19" xfId="0" applyNumberFormat="1" applyFont="1" applyFill="1" applyBorder="1" applyAlignment="1" applyProtection="1">
      <alignment vertical="center" wrapText="1"/>
      <protection locked="0"/>
    </xf>
    <xf numFmtId="0" fontId="11" fillId="16" borderId="0" xfId="0" applyFont="1" applyFill="1" applyBorder="1" applyAlignment="1" applyProtection="1">
      <alignment horizontal="left" vertical="top" wrapText="1"/>
      <protection locked="0"/>
    </xf>
    <xf numFmtId="0" fontId="0" fillId="0" borderId="11" xfId="0" applyBorder="1" applyProtection="1">
      <protection locked="0"/>
    </xf>
    <xf numFmtId="0" fontId="0" fillId="16" borderId="12" xfId="0" applyFill="1" applyBorder="1" applyProtection="1">
      <protection locked="0"/>
    </xf>
    <xf numFmtId="0" fontId="0" fillId="16" borderId="13" xfId="0" applyFill="1" applyBorder="1" applyProtection="1">
      <protection locked="0"/>
    </xf>
    <xf numFmtId="0" fontId="0" fillId="16" borderId="14" xfId="0" applyFill="1" applyBorder="1" applyProtection="1">
      <protection locked="0"/>
    </xf>
    <xf numFmtId="0" fontId="0" fillId="16" borderId="15" xfId="0" applyFill="1" applyBorder="1" applyProtection="1">
      <protection locked="0"/>
    </xf>
    <xf numFmtId="0" fontId="0" fillId="0" borderId="14" xfId="0" applyBorder="1" applyProtection="1">
      <protection locked="0"/>
    </xf>
    <xf numFmtId="0" fontId="0" fillId="0" borderId="16" xfId="0" applyBorder="1" applyProtection="1">
      <protection locked="0"/>
    </xf>
    <xf numFmtId="0" fontId="0" fillId="16" borderId="17" xfId="0" applyFill="1" applyBorder="1" applyProtection="1">
      <protection locked="0"/>
    </xf>
    <xf numFmtId="0" fontId="0" fillId="16" borderId="18" xfId="0" applyFill="1" applyBorder="1" applyProtection="1">
      <protection locked="0"/>
    </xf>
    <xf numFmtId="0" fontId="0" fillId="25" borderId="0" xfId="0" applyFill="1" applyProtection="1">
      <protection locked="0"/>
    </xf>
    <xf numFmtId="0" fontId="6" fillId="0" borderId="0" xfId="0" applyFont="1" applyAlignment="1" applyProtection="1">
      <alignment horizontal="left" vertical="center" wrapText="1" indent="2"/>
    </xf>
    <xf numFmtId="0" fontId="3" fillId="0" borderId="0" xfId="0" applyFont="1" applyBorder="1" applyAlignment="1" applyProtection="1">
      <alignment horizontal="left"/>
    </xf>
    <xf numFmtId="0" fontId="70" fillId="13" borderId="31" xfId="0" applyFont="1" applyFill="1" applyBorder="1" applyAlignment="1" applyProtection="1">
      <alignment horizontal="center" vertical="center"/>
      <protection locked="0"/>
    </xf>
    <xf numFmtId="1" fontId="0" fillId="19" borderId="19" xfId="0" applyNumberFormat="1" applyFill="1" applyBorder="1" applyProtection="1"/>
    <xf numFmtId="0" fontId="6" fillId="0" borderId="0" xfId="0" applyFont="1" applyAlignment="1">
      <alignment vertical="top" wrapText="1"/>
    </xf>
    <xf numFmtId="0" fontId="11" fillId="25" borderId="19" xfId="0" applyFont="1" applyFill="1" applyBorder="1"/>
    <xf numFmtId="0" fontId="6" fillId="0" borderId="0" xfId="0" applyFont="1" applyAlignment="1">
      <alignment vertical="top"/>
    </xf>
    <xf numFmtId="0" fontId="11" fillId="0" borderId="41" xfId="0" applyFont="1" applyFill="1" applyBorder="1" applyAlignment="1" applyProtection="1">
      <alignment vertical="center" wrapText="1"/>
      <protection locked="0"/>
    </xf>
    <xf numFmtId="0" fontId="11" fillId="0" borderId="0" xfId="0" applyFont="1" applyFill="1" applyBorder="1" applyAlignment="1" applyProtection="1">
      <alignment horizontal="left" vertical="center" wrapText="1" indent="1"/>
    </xf>
    <xf numFmtId="0" fontId="11" fillId="25" borderId="19" xfId="0" applyFont="1" applyFill="1" applyBorder="1" applyAlignment="1">
      <alignment wrapText="1"/>
    </xf>
    <xf numFmtId="0" fontId="11" fillId="0" borderId="31" xfId="0" applyFont="1" applyFill="1" applyBorder="1" applyAlignment="1" applyProtection="1">
      <alignment vertical="center" wrapText="1"/>
      <protection locked="0"/>
    </xf>
    <xf numFmtId="0" fontId="11" fillId="27" borderId="31" xfId="0" applyFont="1" applyFill="1" applyBorder="1" applyAlignment="1" applyProtection="1">
      <alignment vertical="center" wrapText="1"/>
      <protection locked="0"/>
    </xf>
    <xf numFmtId="0" fontId="11" fillId="27" borderId="31" xfId="0" applyFont="1" applyFill="1" applyBorder="1" applyAlignment="1" applyProtection="1">
      <alignment vertical="top" wrapText="1"/>
      <protection locked="0"/>
    </xf>
    <xf numFmtId="0" fontId="15" fillId="0" borderId="0" xfId="0" applyFont="1" applyBorder="1" applyAlignment="1" applyProtection="1">
      <alignment vertical="center"/>
    </xf>
    <xf numFmtId="0" fontId="6" fillId="0" borderId="0" xfId="0" applyFont="1" applyFill="1" applyBorder="1" applyAlignment="1" applyProtection="1">
      <alignment horizontal="left" vertical="center" wrapText="1" indent="1"/>
    </xf>
    <xf numFmtId="0" fontId="11" fillId="0" borderId="0" xfId="0" applyFont="1" applyBorder="1" applyProtection="1"/>
    <xf numFmtId="0" fontId="11" fillId="0" borderId="0" xfId="0" applyFont="1" applyFill="1" applyBorder="1" applyAlignment="1" applyProtection="1">
      <alignment vertical="top" wrapText="1"/>
      <protection locked="0"/>
    </xf>
    <xf numFmtId="0" fontId="6" fillId="0" borderId="15" xfId="0" applyFont="1" applyBorder="1" applyAlignment="1">
      <alignment vertical="top" wrapText="1"/>
    </xf>
    <xf numFmtId="0" fontId="6" fillId="0" borderId="0" xfId="0" applyFont="1" applyBorder="1" applyAlignment="1">
      <alignment vertical="top" wrapText="1"/>
    </xf>
    <xf numFmtId="0" fontId="48" fillId="17" borderId="19" xfId="0" applyFont="1" applyFill="1" applyBorder="1" applyAlignment="1">
      <alignment vertical="center" wrapText="1"/>
    </xf>
    <xf numFmtId="0" fontId="72" fillId="0" borderId="0" xfId="0" applyFont="1"/>
    <xf numFmtId="0" fontId="6" fillId="16" borderId="15" xfId="0" applyFont="1" applyFill="1" applyBorder="1"/>
    <xf numFmtId="0" fontId="6" fillId="0" borderId="0" xfId="0" applyFont="1" applyBorder="1" applyAlignment="1" applyProtection="1">
      <alignment horizontal="left"/>
    </xf>
    <xf numFmtId="0" fontId="0" fillId="27" borderId="31" xfId="0" applyFill="1" applyBorder="1" applyProtection="1">
      <protection locked="0"/>
    </xf>
    <xf numFmtId="0" fontId="6" fillId="27" borderId="31" xfId="0" applyFont="1" applyFill="1" applyBorder="1" applyProtection="1">
      <protection locked="0"/>
    </xf>
    <xf numFmtId="0" fontId="72" fillId="0" borderId="0" xfId="0" applyFont="1" applyBorder="1"/>
    <xf numFmtId="0" fontId="6" fillId="0" borderId="19" xfId="0" applyFont="1" applyBorder="1" applyProtection="1"/>
    <xf numFmtId="0" fontId="6" fillId="0" borderId="0" xfId="0" applyFont="1" applyBorder="1" applyAlignment="1" applyProtection="1">
      <alignment horizontal="left" vertical="center" wrapText="1"/>
    </xf>
    <xf numFmtId="0" fontId="0" fillId="0" borderId="0" xfId="0" applyBorder="1" applyAlignment="1" applyProtection="1">
      <alignment horizontal="left" vertical="center" wrapText="1"/>
    </xf>
    <xf numFmtId="0" fontId="6" fillId="11" borderId="0" xfId="0" applyFont="1" applyFill="1" applyBorder="1" applyAlignment="1" applyProtection="1">
      <alignment horizontal="left" vertical="center" wrapText="1"/>
    </xf>
    <xf numFmtId="0" fontId="0" fillId="11" borderId="0" xfId="0" applyFill="1" applyBorder="1" applyAlignment="1" applyProtection="1">
      <alignment horizontal="left" vertical="center" wrapText="1"/>
    </xf>
    <xf numFmtId="0" fontId="6" fillId="0" borderId="0" xfId="0" applyFont="1" applyBorder="1" applyAlignment="1" applyProtection="1">
      <alignment horizontal="left" wrapText="1"/>
    </xf>
    <xf numFmtId="0" fontId="6" fillId="11" borderId="0" xfId="0" applyFont="1" applyFill="1" applyBorder="1" applyAlignment="1" applyProtection="1">
      <alignment horizontal="left" vertical="center"/>
    </xf>
    <xf numFmtId="0" fontId="0" fillId="0" borderId="0" xfId="0" applyBorder="1" applyAlignment="1" applyProtection="1">
      <alignment horizontal="left" vertical="center"/>
    </xf>
    <xf numFmtId="0" fontId="0" fillId="11" borderId="0" xfId="0" applyFill="1" applyBorder="1" applyProtection="1"/>
    <xf numFmtId="0" fontId="14" fillId="0" borderId="0" xfId="0" applyFont="1" applyBorder="1" applyAlignment="1" applyProtection="1">
      <alignment horizontal="left" wrapText="1"/>
    </xf>
    <xf numFmtId="0" fontId="11" fillId="2" borderId="21" xfId="0" applyFont="1" applyFill="1" applyBorder="1" applyAlignment="1" applyProtection="1">
      <alignment horizontal="center" vertical="center" wrapText="1"/>
    </xf>
    <xf numFmtId="0" fontId="11" fillId="2" borderId="22" xfId="0" applyFont="1" applyFill="1" applyBorder="1" applyAlignment="1" applyProtection="1">
      <alignment horizontal="center" vertical="center" wrapText="1"/>
    </xf>
    <xf numFmtId="0" fontId="11" fillId="2" borderId="26" xfId="0" applyFont="1" applyFill="1" applyBorder="1" applyAlignment="1" applyProtection="1">
      <alignment horizontal="center" vertical="center" wrapText="1"/>
    </xf>
    <xf numFmtId="0" fontId="3" fillId="21" borderId="19" xfId="0" applyFont="1" applyFill="1" applyBorder="1" applyAlignment="1" applyProtection="1">
      <alignment horizontal="center" vertical="center" wrapText="1"/>
    </xf>
    <xf numFmtId="0" fontId="6" fillId="0" borderId="0" xfId="0" applyFont="1" applyBorder="1" applyAlignment="1">
      <alignment horizontal="left" vertical="top" wrapText="1"/>
    </xf>
    <xf numFmtId="0" fontId="11" fillId="0" borderId="0" xfId="0" applyFont="1" applyBorder="1" applyAlignment="1">
      <alignment horizontal="left" vertical="top" wrapText="1"/>
    </xf>
    <xf numFmtId="0" fontId="10" fillId="16" borderId="0" xfId="0" applyFont="1" applyFill="1" applyBorder="1" applyAlignment="1" applyProtection="1">
      <alignment horizontal="left" vertical="top" wrapText="1"/>
    </xf>
    <xf numFmtId="0" fontId="25" fillId="9" borderId="19" xfId="0" applyFont="1" applyFill="1" applyBorder="1" applyAlignment="1" applyProtection="1">
      <alignment horizontal="center" vertical="center"/>
    </xf>
    <xf numFmtId="0" fontId="25" fillId="12" borderId="19" xfId="0" applyFont="1" applyFill="1" applyBorder="1" applyAlignment="1" applyProtection="1">
      <alignment horizontal="center" vertical="center"/>
    </xf>
    <xf numFmtId="0" fontId="0" fillId="0" borderId="19" xfId="0" applyBorder="1" applyAlignment="1" applyProtection="1">
      <alignment horizontal="left"/>
    </xf>
    <xf numFmtId="0" fontId="11" fillId="0" borderId="0" xfId="0" applyFont="1" applyFill="1" applyBorder="1" applyAlignment="1" applyProtection="1">
      <alignment horizontal="left" vertical="center" wrapText="1"/>
    </xf>
    <xf numFmtId="0" fontId="6" fillId="31" borderId="0" xfId="0" applyFont="1" applyFill="1" applyAlignment="1">
      <alignment vertical="top" wrapText="1"/>
    </xf>
    <xf numFmtId="3" fontId="6" fillId="13" borderId="19" xfId="0" applyNumberFormat="1" applyFont="1" applyFill="1" applyBorder="1" applyAlignment="1" applyProtection="1">
      <alignment horizontal="right"/>
      <protection locked="0"/>
    </xf>
    <xf numFmtId="0" fontId="11" fillId="0" borderId="58" xfId="0" applyFont="1" applyFill="1" applyBorder="1" applyAlignment="1" applyProtection="1">
      <alignment vertical="center" wrapText="1"/>
      <protection locked="0"/>
    </xf>
    <xf numFmtId="0" fontId="11" fillId="0" borderId="5" xfId="0" applyFont="1" applyBorder="1" applyAlignment="1">
      <alignment vertical="center" wrapText="1"/>
    </xf>
    <xf numFmtId="0" fontId="11" fillId="0" borderId="19" xfId="0" applyFont="1" applyBorder="1" applyAlignment="1">
      <alignment vertical="center" wrapText="1"/>
    </xf>
    <xf numFmtId="0" fontId="6" fillId="0" borderId="19" xfId="0" applyFont="1" applyBorder="1" applyAlignment="1" applyProtection="1">
      <alignment wrapText="1"/>
    </xf>
    <xf numFmtId="0" fontId="6" fillId="31" borderId="0" xfId="0" applyFont="1" applyFill="1"/>
    <xf numFmtId="0" fontId="6" fillId="31" borderId="0" xfId="0" applyFont="1" applyFill="1" applyAlignment="1">
      <alignment wrapText="1"/>
    </xf>
    <xf numFmtId="0" fontId="6" fillId="0" borderId="12" xfId="0" applyFont="1" applyBorder="1" applyAlignment="1">
      <alignment wrapText="1"/>
    </xf>
    <xf numFmtId="0" fontId="6" fillId="0" borderId="12" xfId="0" applyFont="1" applyFill="1" applyBorder="1"/>
    <xf numFmtId="0" fontId="6" fillId="0" borderId="0" xfId="0" applyFont="1" applyBorder="1" applyAlignment="1">
      <alignment wrapText="1"/>
    </xf>
    <xf numFmtId="0" fontId="6" fillId="0" borderId="0" xfId="0" applyFont="1" applyBorder="1"/>
    <xf numFmtId="0" fontId="6" fillId="0" borderId="0" xfId="0" applyFont="1" applyFill="1" applyBorder="1"/>
    <xf numFmtId="0" fontId="6" fillId="0" borderId="19" xfId="9" applyFont="1" applyBorder="1" applyAlignment="1" applyProtection="1">
      <alignment wrapText="1"/>
    </xf>
    <xf numFmtId="0" fontId="6" fillId="0" borderId="0" xfId="0" applyFont="1" applyFill="1"/>
    <xf numFmtId="0" fontId="6" fillId="0" borderId="17" xfId="0" applyFont="1" applyBorder="1" applyAlignment="1">
      <alignment wrapText="1"/>
    </xf>
    <xf numFmtId="0" fontId="6" fillId="0" borderId="17" xfId="0" applyFont="1" applyFill="1" applyBorder="1"/>
    <xf numFmtId="0" fontId="6" fillId="31" borderId="0" xfId="0" applyFont="1" applyFill="1" applyProtection="1"/>
    <xf numFmtId="0" fontId="6" fillId="0" borderId="0" xfId="0" applyFont="1" applyAlignment="1">
      <alignment wrapText="1"/>
    </xf>
    <xf numFmtId="0" fontId="15" fillId="17" borderId="71" xfId="0" applyFont="1" applyFill="1" applyBorder="1" applyAlignment="1" applyProtection="1">
      <alignment horizontal="center" vertical="center" wrapText="1"/>
      <protection locked="0"/>
    </xf>
    <xf numFmtId="173" fontId="2" fillId="13" borderId="72" xfId="0" applyNumberFormat="1" applyFont="1" applyFill="1" applyBorder="1" applyAlignment="1" applyProtection="1">
      <alignment horizontal="right" vertical="center" wrapText="1"/>
      <protection locked="0"/>
    </xf>
    <xf numFmtId="3" fontId="2" fillId="13" borderId="72" xfId="0" applyNumberFormat="1" applyFont="1" applyFill="1" applyBorder="1" applyAlignment="1" applyProtection="1">
      <alignment horizontal="right" vertical="center" wrapText="1"/>
      <protection locked="0"/>
    </xf>
    <xf numFmtId="164" fontId="2" fillId="13" borderId="72" xfId="0" applyNumberFormat="1" applyFont="1" applyFill="1" applyBorder="1" applyAlignment="1" applyProtection="1">
      <alignment horizontal="right" vertical="center" wrapText="1"/>
      <protection locked="0"/>
    </xf>
    <xf numFmtId="164" fontId="9" fillId="13" borderId="72" xfId="0" applyNumberFormat="1" applyFont="1" applyFill="1" applyBorder="1" applyAlignment="1" applyProtection="1">
      <alignment horizontal="center" vertical="center" wrapText="1"/>
      <protection locked="0"/>
    </xf>
    <xf numFmtId="0" fontId="6" fillId="13" borderId="72" xfId="0" applyFont="1" applyFill="1" applyBorder="1" applyAlignment="1">
      <alignment vertical="center" wrapText="1"/>
    </xf>
    <xf numFmtId="3" fontId="6" fillId="13" borderId="72" xfId="0" applyNumberFormat="1" applyFont="1" applyFill="1" applyBorder="1" applyAlignment="1">
      <alignment horizontal="right" vertical="center" wrapText="1"/>
    </xf>
    <xf numFmtId="164" fontId="6" fillId="13" borderId="72" xfId="0" applyNumberFormat="1" applyFont="1" applyFill="1" applyBorder="1" applyAlignment="1">
      <alignment horizontal="right" vertical="center" wrapText="1"/>
    </xf>
    <xf numFmtId="164" fontId="6" fillId="13" borderId="72" xfId="0" applyNumberFormat="1" applyFont="1" applyFill="1" applyBorder="1" applyAlignment="1">
      <alignment horizontal="center" vertical="center" wrapText="1"/>
    </xf>
    <xf numFmtId="164" fontId="11" fillId="13" borderId="72" xfId="0" applyNumberFormat="1" applyFont="1" applyFill="1" applyBorder="1" applyAlignment="1">
      <alignment horizontal="right" vertical="center" wrapText="1"/>
    </xf>
    <xf numFmtId="0" fontId="6" fillId="13" borderId="72" xfId="0" applyFont="1" applyFill="1" applyBorder="1" applyAlignment="1">
      <alignment vertical="center"/>
    </xf>
    <xf numFmtId="164" fontId="6" fillId="13" borderId="72" xfId="0" applyNumberFormat="1" applyFont="1" applyFill="1" applyBorder="1" applyAlignment="1">
      <alignment horizontal="right" vertical="center"/>
    </xf>
    <xf numFmtId="0" fontId="20" fillId="11" borderId="0" xfId="0" applyFont="1" applyFill="1" applyAlignment="1">
      <alignment horizontal="left" wrapText="1" indent="11"/>
    </xf>
    <xf numFmtId="0" fontId="20" fillId="11" borderId="0" xfId="0" applyFont="1" applyFill="1" applyBorder="1" applyAlignment="1">
      <alignment wrapText="1"/>
    </xf>
    <xf numFmtId="166" fontId="25" fillId="4" borderId="19" xfId="4" applyNumberFormat="1" applyFont="1" applyFill="1" applyBorder="1" applyAlignment="1" applyProtection="1">
      <alignment horizontal="center" vertical="center" wrapText="1"/>
    </xf>
    <xf numFmtId="0" fontId="25" fillId="4" borderId="19" xfId="25" applyFont="1" applyFill="1" applyBorder="1" applyAlignment="1" applyProtection="1">
      <alignment horizontal="center" vertical="center" wrapText="1"/>
    </xf>
    <xf numFmtId="166" fontId="25" fillId="5" borderId="19" xfId="4" applyNumberFormat="1" applyFont="1" applyFill="1" applyBorder="1" applyAlignment="1" applyProtection="1">
      <alignment horizontal="center" vertical="center" wrapText="1"/>
    </xf>
    <xf numFmtId="0" fontId="25" fillId="5" borderId="70" xfId="25" applyFont="1" applyFill="1" applyBorder="1" applyAlignment="1" applyProtection="1">
      <alignment vertical="center" wrapText="1"/>
    </xf>
    <xf numFmtId="0" fontId="1" fillId="0" borderId="19" xfId="25" applyFont="1" applyFill="1" applyBorder="1" applyAlignment="1" applyProtection="1"/>
    <xf numFmtId="167" fontId="1" fillId="0" borderId="19" xfId="4" applyNumberFormat="1" applyFont="1" applyFill="1" applyBorder="1" applyAlignment="1" applyProtection="1"/>
    <xf numFmtId="168" fontId="1" fillId="0" borderId="19" xfId="25" applyNumberFormat="1" applyFont="1" applyFill="1" applyBorder="1" applyAlignment="1" applyProtection="1">
      <alignment horizontal="right"/>
    </xf>
    <xf numFmtId="166" fontId="1" fillId="0" borderId="19" xfId="4" applyNumberFormat="1" applyFont="1" applyFill="1" applyBorder="1" applyAlignment="1" applyProtection="1">
      <alignment horizontal="right"/>
    </xf>
    <xf numFmtId="168" fontId="1" fillId="6" borderId="19" xfId="25" applyNumberFormat="1" applyFont="1" applyFill="1" applyBorder="1" applyAlignment="1" applyProtection="1">
      <alignment horizontal="right"/>
    </xf>
    <xf numFmtId="166" fontId="29" fillId="7" borderId="19" xfId="4" applyNumberFormat="1" applyFont="1" applyFill="1" applyBorder="1" applyAlignment="1" applyProtection="1">
      <alignment horizontal="right"/>
    </xf>
    <xf numFmtId="0" fontId="15" fillId="37" borderId="73" xfId="0" applyFont="1" applyFill="1" applyBorder="1" applyAlignment="1" applyProtection="1">
      <alignment vertical="center"/>
    </xf>
    <xf numFmtId="0" fontId="6" fillId="0" borderId="75" xfId="0" applyFont="1" applyBorder="1" applyProtection="1"/>
    <xf numFmtId="0" fontId="15" fillId="38" borderId="63" xfId="0" applyFont="1" applyFill="1" applyBorder="1" applyAlignment="1" applyProtection="1">
      <alignment vertical="center"/>
    </xf>
    <xf numFmtId="0" fontId="6" fillId="0" borderId="64" xfId="0" applyFont="1" applyBorder="1" applyProtection="1"/>
    <xf numFmtId="0" fontId="15" fillId="21" borderId="49" xfId="0" applyFont="1" applyFill="1" applyBorder="1" applyAlignment="1" applyProtection="1">
      <alignment vertical="center"/>
    </xf>
    <xf numFmtId="0" fontId="6" fillId="0" borderId="47" xfId="0" applyFont="1" applyBorder="1" applyProtection="1"/>
    <xf numFmtId="0" fontId="0" fillId="0" borderId="72" xfId="0" applyBorder="1" applyProtection="1"/>
    <xf numFmtId="0" fontId="3" fillId="16" borderId="0" xfId="0" applyFont="1" applyFill="1" applyBorder="1" applyAlignment="1" applyProtection="1">
      <alignment horizontal="left"/>
    </xf>
    <xf numFmtId="0" fontId="5" fillId="0" borderId="0" xfId="9" applyBorder="1" applyAlignment="1" applyProtection="1">
      <alignment horizontal="left"/>
    </xf>
    <xf numFmtId="0" fontId="11" fillId="0" borderId="70" xfId="0" applyFont="1" applyBorder="1" applyAlignment="1" applyProtection="1">
      <alignment vertical="center"/>
    </xf>
    <xf numFmtId="0" fontId="73" fillId="0" borderId="0" xfId="0" applyFont="1" applyBorder="1" applyProtection="1"/>
    <xf numFmtId="0" fontId="11" fillId="0" borderId="19" xfId="0" applyFont="1" applyBorder="1" applyAlignment="1">
      <alignment wrapText="1"/>
    </xf>
    <xf numFmtId="0" fontId="6" fillId="0" borderId="19" xfId="0" applyFont="1" applyFill="1" applyBorder="1" applyProtection="1">
      <protection locked="0"/>
    </xf>
    <xf numFmtId="0" fontId="6" fillId="0" borderId="19" xfId="0" applyFont="1" applyFill="1" applyBorder="1" applyAlignment="1" applyProtection="1">
      <alignment wrapText="1"/>
      <protection locked="0"/>
    </xf>
    <xf numFmtId="172" fontId="6" fillId="2" borderId="6" xfId="0" applyNumberFormat="1" applyFont="1" applyFill="1" applyBorder="1" applyProtection="1"/>
    <xf numFmtId="0" fontId="0" fillId="0" borderId="19" xfId="0" applyBorder="1" applyAlignment="1" applyProtection="1">
      <alignment horizontal="center" vertical="center"/>
    </xf>
    <xf numFmtId="0" fontId="0" fillId="21" borderId="0" xfId="0" applyFill="1" applyAlignment="1">
      <alignment horizontal="center"/>
    </xf>
    <xf numFmtId="0" fontId="6" fillId="0" borderId="19" xfId="0" applyFont="1" applyFill="1" applyBorder="1" applyAlignment="1" applyProtection="1">
      <alignment horizontal="center" vertical="center" wrapText="1"/>
    </xf>
    <xf numFmtId="1" fontId="6" fillId="0" borderId="19" xfId="0" applyNumberFormat="1" applyFont="1" applyFill="1" applyBorder="1" applyAlignment="1" applyProtection="1">
      <alignment horizontal="center" vertical="center" wrapText="1"/>
    </xf>
    <xf numFmtId="0" fontId="0" fillId="0" borderId="0" xfId="0" applyAlignment="1">
      <alignment horizontal="center"/>
    </xf>
    <xf numFmtId="175" fontId="6" fillId="0" borderId="19" xfId="0" applyNumberFormat="1" applyFont="1" applyFill="1" applyBorder="1" applyAlignment="1" applyProtection="1">
      <alignment horizontal="center" vertical="center" wrapText="1"/>
    </xf>
    <xf numFmtId="0" fontId="6" fillId="0" borderId="35" xfId="0" applyFont="1" applyFill="1" applyBorder="1" applyAlignment="1" applyProtection="1">
      <alignment horizontal="center" vertical="center" wrapText="1"/>
    </xf>
    <xf numFmtId="175" fontId="6" fillId="0" borderId="35" xfId="0" applyNumberFormat="1" applyFont="1" applyFill="1" applyBorder="1" applyAlignment="1" applyProtection="1">
      <alignment horizontal="center" vertical="center" wrapText="1"/>
    </xf>
    <xf numFmtId="1" fontId="6" fillId="0" borderId="35" xfId="0" applyNumberFormat="1" applyFont="1" applyFill="1" applyBorder="1" applyAlignment="1" applyProtection="1">
      <alignment horizontal="center" vertical="center" wrapText="1"/>
    </xf>
    <xf numFmtId="0" fontId="6" fillId="0" borderId="19" xfId="0" applyFont="1" applyFill="1" applyBorder="1" applyAlignment="1" applyProtection="1">
      <alignment horizontal="center" vertical="center" wrapText="1"/>
      <protection locked="0"/>
    </xf>
    <xf numFmtId="175" fontId="6" fillId="0" borderId="19" xfId="0" applyNumberFormat="1" applyFont="1" applyFill="1" applyBorder="1" applyAlignment="1" applyProtection="1">
      <alignment horizontal="center" vertical="center" wrapText="1"/>
      <protection locked="0"/>
    </xf>
    <xf numFmtId="1" fontId="6" fillId="0" borderId="19" xfId="0" applyNumberFormat="1" applyFont="1" applyFill="1" applyBorder="1" applyAlignment="1" applyProtection="1">
      <alignment horizontal="center" vertical="center" wrapText="1"/>
      <protection locked="0"/>
    </xf>
    <xf numFmtId="0" fontId="6" fillId="0" borderId="35" xfId="0" applyFont="1" applyFill="1" applyBorder="1" applyAlignment="1" applyProtection="1">
      <alignment horizontal="center" vertical="center" wrapText="1"/>
      <protection locked="0"/>
    </xf>
    <xf numFmtId="175" fontId="6" fillId="0" borderId="35" xfId="0" applyNumberFormat="1" applyFont="1" applyFill="1" applyBorder="1" applyAlignment="1" applyProtection="1">
      <alignment horizontal="center" vertical="center" wrapText="1"/>
      <protection locked="0"/>
    </xf>
    <xf numFmtId="1" fontId="6" fillId="0" borderId="35" xfId="0" applyNumberFormat="1" applyFont="1" applyFill="1" applyBorder="1" applyAlignment="1" applyProtection="1">
      <alignment horizontal="center" vertical="center" wrapText="1"/>
      <protection locked="0"/>
    </xf>
    <xf numFmtId="0" fontId="11" fillId="16" borderId="0" xfId="0" applyFont="1" applyFill="1" applyBorder="1" applyAlignment="1" applyProtection="1">
      <alignment horizontal="center" wrapText="1"/>
      <protection hidden="1"/>
    </xf>
    <xf numFmtId="0" fontId="6" fillId="0" borderId="70" xfId="0" applyFont="1" applyFill="1" applyBorder="1" applyAlignment="1" applyProtection="1">
      <alignment horizontal="center" vertical="center" wrapText="1"/>
      <protection locked="0"/>
    </xf>
    <xf numFmtId="0" fontId="11" fillId="20" borderId="0" xfId="0" applyFont="1" applyFill="1" applyBorder="1" applyAlignment="1" applyProtection="1">
      <alignment horizontal="center" wrapText="1"/>
      <protection hidden="1"/>
    </xf>
    <xf numFmtId="0" fontId="11" fillId="20" borderId="14" xfId="0" applyFont="1" applyFill="1" applyBorder="1" applyAlignment="1" applyProtection="1">
      <alignment horizontal="center" wrapText="1"/>
      <protection hidden="1"/>
    </xf>
    <xf numFmtId="0" fontId="11" fillId="20" borderId="15" xfId="0" applyFont="1" applyFill="1" applyBorder="1" applyAlignment="1" applyProtection="1">
      <alignment horizontal="center" wrapText="1"/>
      <protection hidden="1"/>
    </xf>
    <xf numFmtId="0" fontId="11" fillId="20" borderId="16" xfId="0" applyFont="1" applyFill="1" applyBorder="1" applyAlignment="1" applyProtection="1">
      <alignment horizontal="center" wrapText="1"/>
      <protection hidden="1"/>
    </xf>
    <xf numFmtId="0" fontId="6" fillId="0" borderId="76" xfId="0" applyFont="1" applyFill="1" applyBorder="1" applyAlignment="1" applyProtection="1">
      <alignment horizontal="center" vertical="center" wrapText="1"/>
      <protection locked="0"/>
    </xf>
    <xf numFmtId="0" fontId="11" fillId="20" borderId="18" xfId="0" applyFont="1" applyFill="1" applyBorder="1" applyAlignment="1" applyProtection="1">
      <alignment horizontal="center" wrapText="1"/>
      <protection hidden="1"/>
    </xf>
    <xf numFmtId="0" fontId="0" fillId="16" borderId="73" xfId="0" applyFill="1" applyBorder="1"/>
    <xf numFmtId="0" fontId="0" fillId="16" borderId="74" xfId="0" applyFill="1" applyBorder="1"/>
    <xf numFmtId="0" fontId="0" fillId="16" borderId="75" xfId="0" applyFill="1" applyBorder="1"/>
    <xf numFmtId="0" fontId="0" fillId="16" borderId="63" xfId="0" applyFill="1" applyBorder="1"/>
    <xf numFmtId="0" fontId="0" fillId="16" borderId="64" xfId="0" applyFill="1" applyBorder="1"/>
    <xf numFmtId="0" fontId="0" fillId="16" borderId="63" xfId="0" applyFill="1" applyBorder="1" applyAlignment="1">
      <alignment horizontal="center"/>
    </xf>
    <xf numFmtId="0" fontId="0" fillId="16" borderId="49" xfId="0" applyFill="1" applyBorder="1"/>
    <xf numFmtId="0" fontId="0" fillId="16" borderId="2" xfId="0" applyFill="1" applyBorder="1"/>
    <xf numFmtId="0" fontId="0" fillId="16" borderId="2" xfId="0" applyNumberFormat="1" applyFill="1" applyBorder="1"/>
    <xf numFmtId="0" fontId="0" fillId="16" borderId="47" xfId="0" applyFill="1" applyBorder="1"/>
    <xf numFmtId="0" fontId="11" fillId="39" borderId="19" xfId="0" applyFont="1" applyFill="1" applyBorder="1" applyAlignment="1" applyProtection="1">
      <alignment horizontal="center" wrapText="1"/>
    </xf>
    <xf numFmtId="0" fontId="6" fillId="16" borderId="30" xfId="0" applyFont="1" applyFill="1" applyBorder="1" applyAlignment="1" applyProtection="1">
      <alignment horizontal="center" vertical="center"/>
      <protection locked="0"/>
    </xf>
    <xf numFmtId="0" fontId="6" fillId="16" borderId="19" xfId="0" applyFont="1" applyFill="1" applyBorder="1" applyAlignment="1" applyProtection="1">
      <alignment horizontal="center" vertical="center" wrapText="1"/>
      <protection locked="0"/>
    </xf>
    <xf numFmtId="0" fontId="0" fillId="0" borderId="19" xfId="0" applyBorder="1" applyAlignment="1" applyProtection="1">
      <alignment horizontal="center" vertical="center"/>
      <protection locked="0"/>
    </xf>
    <xf numFmtId="0" fontId="6" fillId="0" borderId="19" xfId="0" applyFont="1" applyBorder="1" applyAlignment="1" applyProtection="1">
      <alignment horizontal="center" vertical="center"/>
      <protection locked="0"/>
    </xf>
    <xf numFmtId="0" fontId="0" fillId="25" borderId="70" xfId="0" applyFill="1" applyBorder="1" applyAlignment="1" applyProtection="1">
      <alignment horizontal="center" vertical="center" wrapText="1"/>
    </xf>
    <xf numFmtId="0" fontId="6" fillId="16" borderId="34" xfId="0" applyFont="1" applyFill="1" applyBorder="1" applyAlignment="1" applyProtection="1">
      <alignment horizontal="center" vertical="center"/>
      <protection locked="0"/>
    </xf>
    <xf numFmtId="0" fontId="6" fillId="16" borderId="35" xfId="0" applyFont="1" applyFill="1" applyBorder="1" applyAlignment="1" applyProtection="1">
      <alignment horizontal="center" vertical="center" wrapText="1"/>
      <protection locked="0"/>
    </xf>
    <xf numFmtId="0" fontId="0" fillId="0" borderId="35" xfId="0" applyBorder="1" applyAlignment="1" applyProtection="1">
      <alignment horizontal="center" vertical="center"/>
      <protection locked="0"/>
    </xf>
    <xf numFmtId="0" fontId="6" fillId="0" borderId="35" xfId="0" applyFont="1" applyBorder="1" applyAlignment="1" applyProtection="1">
      <alignment horizontal="center" vertical="center"/>
      <protection locked="0"/>
    </xf>
    <xf numFmtId="0" fontId="0" fillId="25" borderId="76" xfId="0" applyFill="1" applyBorder="1" applyAlignment="1" applyProtection="1">
      <alignment horizontal="center" vertical="center" wrapText="1"/>
    </xf>
    <xf numFmtId="0" fontId="0" fillId="13" borderId="19" xfId="0" applyFill="1" applyBorder="1" applyAlignment="1" applyProtection="1">
      <alignment horizontal="center" vertical="center"/>
      <protection locked="0"/>
    </xf>
    <xf numFmtId="0" fontId="11" fillId="20" borderId="0" xfId="0" applyFont="1" applyFill="1" applyBorder="1" applyAlignment="1" applyProtection="1">
      <alignment horizontal="center" vertical="center" wrapText="1"/>
      <protection hidden="1"/>
    </xf>
    <xf numFmtId="0" fontId="6" fillId="0" borderId="72" xfId="0" applyFont="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11" fillId="20" borderId="17" xfId="0" applyFont="1" applyFill="1" applyBorder="1" applyAlignment="1" applyProtection="1">
      <alignment horizontal="center" vertical="center" wrapText="1"/>
      <protection hidden="1"/>
    </xf>
    <xf numFmtId="0" fontId="6" fillId="0" borderId="77" xfId="0" applyFont="1" applyBorder="1" applyAlignment="1" applyProtection="1">
      <alignment horizontal="center" vertical="center"/>
      <protection locked="0"/>
    </xf>
    <xf numFmtId="0" fontId="0" fillId="0" borderId="70" xfId="0" applyBorder="1" applyAlignment="1" applyProtection="1">
      <alignment horizontal="center" vertical="center"/>
      <protection locked="0"/>
    </xf>
    <xf numFmtId="0" fontId="0" fillId="0" borderId="76" xfId="0" applyBorder="1" applyAlignment="1" applyProtection="1">
      <alignment horizontal="center" vertical="center"/>
      <protection locked="0"/>
    </xf>
    <xf numFmtId="0" fontId="0" fillId="25" borderId="19" xfId="0" applyFill="1" applyBorder="1" applyAlignment="1" applyProtection="1">
      <alignment horizontal="center" vertical="center" wrapText="1"/>
    </xf>
    <xf numFmtId="0" fontId="0" fillId="21" borderId="0" xfId="0" applyFill="1" applyProtection="1"/>
    <xf numFmtId="0" fontId="0" fillId="21" borderId="0" xfId="0" applyFill="1" applyBorder="1" applyProtection="1"/>
    <xf numFmtId="0" fontId="0" fillId="0" borderId="0" xfId="0" applyProtection="1"/>
    <xf numFmtId="0" fontId="0" fillId="16" borderId="73" xfId="0" applyFill="1" applyBorder="1" applyProtection="1"/>
    <xf numFmtId="0" fontId="0" fillId="16" borderId="74" xfId="0" applyFill="1" applyBorder="1" applyProtection="1"/>
    <xf numFmtId="0" fontId="0" fillId="16" borderId="75" xfId="0" applyFill="1" applyBorder="1" applyProtection="1"/>
    <xf numFmtId="0" fontId="0" fillId="16" borderId="63" xfId="0" applyFill="1" applyBorder="1" applyProtection="1"/>
    <xf numFmtId="0" fontId="0" fillId="16" borderId="64" xfId="0" applyFill="1" applyBorder="1" applyProtection="1"/>
    <xf numFmtId="0" fontId="0" fillId="21" borderId="0" xfId="0" applyFill="1" applyAlignment="1" applyProtection="1">
      <alignment horizontal="center"/>
    </xf>
    <xf numFmtId="0" fontId="0" fillId="16" borderId="63" xfId="0" applyFill="1" applyBorder="1" applyAlignment="1" applyProtection="1">
      <alignment horizontal="center"/>
    </xf>
    <xf numFmtId="0" fontId="6" fillId="16" borderId="30" xfId="0" applyFont="1" applyFill="1" applyBorder="1" applyAlignment="1" applyProtection="1">
      <alignment horizontal="center" vertical="center"/>
    </xf>
    <xf numFmtId="0" fontId="6" fillId="16" borderId="19" xfId="0" applyFont="1" applyFill="1" applyBorder="1" applyAlignment="1" applyProtection="1">
      <alignment horizontal="center" vertical="center" wrapText="1"/>
    </xf>
    <xf numFmtId="0" fontId="6" fillId="0" borderId="19" xfId="0" applyFont="1" applyBorder="1" applyAlignment="1" applyProtection="1">
      <alignment horizontal="center" vertical="center"/>
    </xf>
    <xf numFmtId="0" fontId="0" fillId="0" borderId="70" xfId="0" applyBorder="1" applyAlignment="1" applyProtection="1">
      <alignment horizontal="center" vertical="center"/>
    </xf>
    <xf numFmtId="0" fontId="0" fillId="16" borderId="0" xfId="0" applyFill="1" applyBorder="1" applyAlignment="1" applyProtection="1">
      <alignment horizontal="center"/>
    </xf>
    <xf numFmtId="0" fontId="0" fillId="0" borderId="0" xfId="0" applyAlignment="1" applyProtection="1">
      <alignment horizontal="center"/>
    </xf>
    <xf numFmtId="0" fontId="6" fillId="16" borderId="34" xfId="0" applyFont="1" applyFill="1" applyBorder="1" applyAlignment="1" applyProtection="1">
      <alignment horizontal="center" vertical="center"/>
    </xf>
    <xf numFmtId="0" fontId="6" fillId="16" borderId="35" xfId="0" applyFont="1" applyFill="1" applyBorder="1" applyAlignment="1" applyProtection="1">
      <alignment horizontal="center" vertical="center" wrapText="1"/>
    </xf>
    <xf numFmtId="0" fontId="0" fillId="0" borderId="35" xfId="0" applyBorder="1" applyAlignment="1" applyProtection="1">
      <alignment horizontal="center" vertical="center"/>
    </xf>
    <xf numFmtId="0" fontId="6" fillId="0" borderId="35" xfId="0" applyFont="1" applyBorder="1" applyAlignment="1" applyProtection="1">
      <alignment horizontal="center" vertical="center"/>
    </xf>
    <xf numFmtId="0" fontId="0" fillId="0" borderId="76" xfId="0" applyBorder="1" applyAlignment="1" applyProtection="1">
      <alignment horizontal="center" vertical="center"/>
    </xf>
    <xf numFmtId="14" fontId="0" fillId="0" borderId="0" xfId="0" applyNumberFormat="1" applyFill="1" applyBorder="1" applyProtection="1"/>
    <xf numFmtId="0" fontId="0" fillId="0" borderId="0" xfId="0" applyNumberFormat="1" applyFill="1" applyBorder="1" applyProtection="1"/>
    <xf numFmtId="0" fontId="11" fillId="17" borderId="33" xfId="0" applyFont="1" applyFill="1" applyBorder="1" applyAlignment="1" applyProtection="1">
      <alignment horizontal="center" wrapText="1"/>
    </xf>
    <xf numFmtId="0" fontId="11" fillId="15" borderId="19" xfId="0" applyFont="1" applyFill="1" applyBorder="1" applyAlignment="1" applyProtection="1">
      <alignment horizontal="center" wrapText="1"/>
    </xf>
    <xf numFmtId="0" fontId="11" fillId="15" borderId="70" xfId="0" applyFont="1" applyFill="1" applyBorder="1" applyAlignment="1" applyProtection="1">
      <alignment horizontal="center" wrapText="1"/>
    </xf>
    <xf numFmtId="0" fontId="11" fillId="15" borderId="75" xfId="0" applyFont="1" applyFill="1" applyBorder="1" applyAlignment="1" applyProtection="1">
      <alignment horizontal="center" vertical="center" wrapText="1"/>
    </xf>
    <xf numFmtId="0" fontId="11" fillId="15" borderId="73" xfId="0" applyFont="1" applyFill="1" applyBorder="1" applyAlignment="1" applyProtection="1">
      <alignment horizontal="center" vertical="center" wrapText="1"/>
    </xf>
    <xf numFmtId="0" fontId="0" fillId="13" borderId="19" xfId="0" applyFill="1" applyBorder="1" applyAlignment="1" applyProtection="1">
      <alignment horizontal="center" vertical="center"/>
    </xf>
    <xf numFmtId="0" fontId="6" fillId="0" borderId="70" xfId="0" applyFont="1" applyFill="1" applyBorder="1" applyAlignment="1" applyProtection="1">
      <alignment horizontal="center" vertical="center" wrapText="1"/>
    </xf>
    <xf numFmtId="0" fontId="6" fillId="0" borderId="72" xfId="0" applyFont="1" applyBorder="1" applyAlignment="1" applyProtection="1">
      <alignment horizontal="center" vertical="center"/>
    </xf>
    <xf numFmtId="0" fontId="0" fillId="13" borderId="35" xfId="0" applyFill="1" applyBorder="1" applyAlignment="1" applyProtection="1">
      <alignment horizontal="center" vertical="center"/>
    </xf>
    <xf numFmtId="0" fontId="6" fillId="0" borderId="76" xfId="0" applyFont="1" applyFill="1" applyBorder="1" applyAlignment="1" applyProtection="1">
      <alignment horizontal="center" vertical="center" wrapText="1"/>
    </xf>
    <xf numFmtId="0" fontId="6" fillId="0" borderId="77" xfId="0" applyFont="1" applyBorder="1" applyAlignment="1" applyProtection="1">
      <alignment horizontal="center" vertical="center"/>
    </xf>
    <xf numFmtId="0" fontId="0" fillId="16" borderId="0" xfId="0" applyNumberFormat="1" applyFill="1" applyBorder="1" applyProtection="1"/>
    <xf numFmtId="0" fontId="0" fillId="16" borderId="49" xfId="0" applyFill="1" applyBorder="1" applyProtection="1"/>
    <xf numFmtId="0" fontId="0" fillId="16" borderId="2" xfId="0" applyFill="1" applyBorder="1" applyProtection="1"/>
    <xf numFmtId="0" fontId="0" fillId="16" borderId="2" xfId="0" applyNumberFormat="1" applyFill="1" applyBorder="1" applyProtection="1"/>
    <xf numFmtId="0" fontId="0" fillId="16" borderId="47" xfId="0" applyFill="1" applyBorder="1" applyProtection="1"/>
    <xf numFmtId="0" fontId="0" fillId="21" borderId="0" xfId="0" applyNumberFormat="1" applyFill="1" applyProtection="1"/>
    <xf numFmtId="0" fontId="0" fillId="0" borderId="0" xfId="0" applyNumberFormat="1" applyProtection="1"/>
    <xf numFmtId="0" fontId="15" fillId="33" borderId="0" xfId="0" applyFont="1" applyFill="1" applyBorder="1" applyAlignment="1">
      <alignment vertical="center"/>
    </xf>
    <xf numFmtId="0" fontId="0" fillId="33" borderId="0" xfId="0" applyFill="1" applyBorder="1" applyAlignment="1">
      <alignment vertical="center"/>
    </xf>
    <xf numFmtId="0" fontId="0" fillId="33" borderId="0" xfId="0" applyFill="1" applyBorder="1"/>
    <xf numFmtId="0" fontId="15" fillId="17" borderId="33" xfId="0" applyFont="1" applyFill="1" applyBorder="1" applyAlignment="1">
      <alignment horizontal="center" wrapText="1"/>
    </xf>
    <xf numFmtId="0" fontId="15" fillId="15" borderId="19" xfId="0" applyFont="1" applyFill="1" applyBorder="1" applyAlignment="1">
      <alignment horizontal="center" wrapText="1"/>
    </xf>
    <xf numFmtId="0" fontId="15" fillId="15" borderId="70" xfId="0" applyFont="1" applyFill="1" applyBorder="1" applyAlignment="1">
      <alignment horizontal="center" wrapText="1"/>
    </xf>
    <xf numFmtId="0" fontId="15" fillId="20" borderId="0" xfId="0" applyFont="1" applyFill="1" applyBorder="1" applyAlignment="1" applyProtection="1">
      <alignment horizontal="center" wrapText="1"/>
      <protection hidden="1"/>
    </xf>
    <xf numFmtId="0" fontId="15" fillId="15" borderId="75" xfId="0" applyFont="1" applyFill="1" applyBorder="1" applyAlignment="1" applyProtection="1">
      <alignment horizontal="center" vertical="center" wrapText="1"/>
      <protection locked="0"/>
    </xf>
    <xf numFmtId="0" fontId="15" fillId="15" borderId="73" xfId="0" applyFont="1" applyFill="1" applyBorder="1" applyAlignment="1" applyProtection="1">
      <alignment horizontal="center" vertical="center" wrapText="1"/>
      <protection locked="0"/>
    </xf>
    <xf numFmtId="0" fontId="15" fillId="39" borderId="19" xfId="0" applyFont="1" applyFill="1" applyBorder="1" applyAlignment="1" applyProtection="1">
      <alignment horizontal="center" wrapText="1"/>
    </xf>
    <xf numFmtId="14" fontId="11" fillId="0" borderId="58" xfId="0" applyNumberFormat="1" applyFont="1" applyFill="1" applyBorder="1" applyAlignment="1" applyProtection="1">
      <alignment vertical="center" wrapText="1"/>
      <protection locked="0"/>
    </xf>
    <xf numFmtId="14" fontId="11" fillId="0" borderId="41" xfId="0" applyNumberFormat="1" applyFont="1" applyFill="1" applyBorder="1" applyAlignment="1" applyProtection="1">
      <alignment vertical="center" wrapText="1"/>
      <protection locked="0"/>
    </xf>
    <xf numFmtId="0" fontId="5" fillId="0" borderId="19" xfId="9" applyBorder="1" applyAlignment="1" applyProtection="1">
      <alignment wrapText="1"/>
    </xf>
    <xf numFmtId="0" fontId="0" fillId="27" borderId="31" xfId="0" applyFill="1" applyBorder="1" applyAlignment="1" applyProtection="1">
      <alignment horizontal="center" vertical="center"/>
      <protection locked="0"/>
    </xf>
    <xf numFmtId="0" fontId="3" fillId="2" borderId="52" xfId="0" applyFont="1" applyFill="1" applyBorder="1" applyAlignment="1" applyProtection="1">
      <alignment horizontal="center" vertical="center" wrapText="1"/>
    </xf>
    <xf numFmtId="0" fontId="6" fillId="13" borderId="2" xfId="0" applyFont="1" applyFill="1" applyBorder="1" applyAlignment="1" applyProtection="1">
      <alignment wrapText="1"/>
      <protection locked="0"/>
    </xf>
    <xf numFmtId="0" fontId="6" fillId="13" borderId="71" xfId="0" applyFont="1" applyFill="1" applyBorder="1" applyAlignment="1" applyProtection="1">
      <alignment wrapText="1"/>
      <protection locked="0"/>
    </xf>
    <xf numFmtId="0" fontId="51" fillId="17" borderId="19" xfId="0" applyFont="1" applyFill="1" applyBorder="1"/>
    <xf numFmtId="0" fontId="2" fillId="18" borderId="29" xfId="28" applyFont="1" applyFill="1" applyBorder="1" applyAlignment="1" applyProtection="1">
      <alignment vertical="center" wrapText="1"/>
      <protection locked="0"/>
    </xf>
    <xf numFmtId="0" fontId="79" fillId="42" borderId="80" xfId="28" applyFont="1" applyFill="1" applyBorder="1" applyProtection="1">
      <protection locked="0"/>
    </xf>
    <xf numFmtId="0" fontId="79" fillId="42" borderId="81" xfId="28" applyFont="1" applyFill="1" applyBorder="1" applyProtection="1">
      <protection locked="0"/>
    </xf>
    <xf numFmtId="0" fontId="79" fillId="42" borderId="82" xfId="28" applyFont="1" applyFill="1" applyBorder="1" applyProtection="1">
      <protection locked="0"/>
    </xf>
    <xf numFmtId="0" fontId="82" fillId="42" borderId="82" xfId="28" applyFont="1" applyFill="1" applyBorder="1" applyProtection="1">
      <protection locked="0"/>
    </xf>
    <xf numFmtId="3" fontId="79" fillId="42" borderId="80" xfId="28" applyNumberFormat="1" applyFont="1" applyFill="1" applyBorder="1" applyProtection="1">
      <protection locked="0"/>
    </xf>
    <xf numFmtId="6" fontId="79" fillId="42" borderId="81" xfId="28" applyNumberFormat="1" applyFont="1" applyFill="1" applyBorder="1" applyProtection="1">
      <protection locked="0"/>
    </xf>
    <xf numFmtId="6" fontId="79" fillId="42" borderId="82" xfId="28" applyNumberFormat="1" applyFont="1" applyFill="1" applyBorder="1" applyProtection="1">
      <protection locked="0"/>
    </xf>
    <xf numFmtId="0" fontId="80" fillId="42" borderId="80" xfId="28" applyFont="1" applyFill="1" applyBorder="1" applyProtection="1">
      <protection locked="0"/>
    </xf>
    <xf numFmtId="0" fontId="80" fillId="42" borderId="81" xfId="28" applyFont="1" applyFill="1" applyBorder="1" applyProtection="1">
      <protection locked="0"/>
    </xf>
    <xf numFmtId="0" fontId="2" fillId="15" borderId="29" xfId="28" applyFont="1" applyFill="1" applyBorder="1" applyAlignment="1" applyProtection="1">
      <alignment vertical="center" wrapText="1"/>
      <protection locked="0"/>
    </xf>
    <xf numFmtId="0" fontId="79" fillId="40" borderId="83" xfId="28" applyFont="1" applyFill="1" applyBorder="1" applyProtection="1">
      <protection locked="0"/>
    </xf>
    <xf numFmtId="0" fontId="79" fillId="40" borderId="84" xfId="28" applyFont="1" applyFill="1" applyBorder="1" applyProtection="1">
      <protection locked="0"/>
    </xf>
    <xf numFmtId="0" fontId="79" fillId="40" borderId="85" xfId="28" applyFont="1" applyFill="1" applyBorder="1" applyProtection="1">
      <protection locked="0"/>
    </xf>
    <xf numFmtId="0" fontId="79" fillId="41" borderId="83" xfId="28" applyFont="1" applyFill="1" applyBorder="1" applyProtection="1">
      <protection locked="0"/>
    </xf>
    <xf numFmtId="14" fontId="81" fillId="41" borderId="0" xfId="28" applyNumberFormat="1" applyFont="1" applyFill="1" applyProtection="1">
      <protection locked="0"/>
    </xf>
    <xf numFmtId="3" fontId="79" fillId="40" borderId="83" xfId="28" applyNumberFormat="1" applyFont="1" applyFill="1" applyBorder="1" applyProtection="1">
      <protection locked="0"/>
    </xf>
    <xf numFmtId="0" fontId="79" fillId="40" borderId="81" xfId="28" applyFont="1" applyFill="1" applyBorder="1" applyProtection="1">
      <protection locked="0"/>
    </xf>
    <xf numFmtId="6" fontId="79" fillId="40" borderId="84" xfId="28" applyNumberFormat="1" applyFont="1" applyFill="1" applyBorder="1" applyProtection="1">
      <protection locked="0"/>
    </xf>
    <xf numFmtId="6" fontId="79" fillId="41" borderId="82" xfId="28" applyNumberFormat="1" applyFont="1" applyFill="1" applyBorder="1" applyProtection="1">
      <protection locked="0"/>
    </xf>
    <xf numFmtId="0" fontId="80" fillId="40" borderId="83" xfId="28" applyFont="1" applyFill="1" applyBorder="1" applyProtection="1">
      <protection locked="0"/>
    </xf>
    <xf numFmtId="0" fontId="80" fillId="41" borderId="84" xfId="28" applyFont="1" applyFill="1" applyBorder="1" applyProtection="1">
      <protection locked="0"/>
    </xf>
    <xf numFmtId="0" fontId="79" fillId="41" borderId="81" xfId="28" applyFont="1" applyFill="1" applyBorder="1" applyProtection="1">
      <protection locked="0"/>
    </xf>
    <xf numFmtId="14" fontId="82" fillId="41" borderId="0" xfId="28" applyNumberFormat="1" applyFont="1" applyFill="1" applyProtection="1">
      <protection locked="0"/>
    </xf>
    <xf numFmtId="0" fontId="79" fillId="42" borderId="84" xfId="28" applyFont="1" applyFill="1" applyBorder="1" applyProtection="1">
      <protection locked="0"/>
    </xf>
    <xf numFmtId="14" fontId="82" fillId="41" borderId="82" xfId="28" applyNumberFormat="1" applyFont="1" applyFill="1" applyBorder="1" applyProtection="1">
      <protection locked="0"/>
    </xf>
    <xf numFmtId="0" fontId="79" fillId="42" borderId="83" xfId="28" applyFont="1" applyFill="1" applyBorder="1" applyProtection="1">
      <protection locked="0"/>
    </xf>
    <xf numFmtId="6" fontId="79" fillId="42" borderId="84" xfId="28" applyNumberFormat="1" applyFont="1" applyFill="1" applyBorder="1" applyProtection="1">
      <protection locked="0"/>
    </xf>
    <xf numFmtId="6" fontId="79" fillId="42" borderId="85" xfId="28" applyNumberFormat="1" applyFont="1" applyFill="1" applyBorder="1" applyProtection="1">
      <protection locked="0"/>
    </xf>
    <xf numFmtId="0" fontId="80" fillId="42" borderId="83" xfId="28" applyFont="1" applyFill="1" applyBorder="1" applyProtection="1">
      <protection locked="0"/>
    </xf>
    <xf numFmtId="0" fontId="80" fillId="42" borderId="84" xfId="28" applyFont="1" applyFill="1" applyBorder="1" applyProtection="1">
      <protection locked="0"/>
    </xf>
    <xf numFmtId="0" fontId="79" fillId="41" borderId="85" xfId="28" applyFont="1" applyFill="1" applyBorder="1" applyProtection="1">
      <protection locked="0"/>
    </xf>
    <xf numFmtId="3" fontId="79" fillId="40" borderId="84" xfId="28" applyNumberFormat="1" applyFont="1" applyFill="1" applyBorder="1" applyProtection="1">
      <protection locked="0"/>
    </xf>
    <xf numFmtId="6" fontId="79" fillId="41" borderId="85" xfId="28" applyNumberFormat="1" applyFont="1" applyFill="1" applyBorder="1" applyProtection="1">
      <protection locked="0"/>
    </xf>
    <xf numFmtId="6" fontId="79" fillId="40" borderId="83" xfId="28" applyNumberFormat="1" applyFont="1" applyFill="1" applyBorder="1" applyProtection="1">
      <protection locked="0"/>
    </xf>
    <xf numFmtId="6" fontId="79" fillId="40" borderId="85" xfId="28" applyNumberFormat="1" applyFont="1" applyFill="1" applyBorder="1" applyProtection="1">
      <protection locked="0"/>
    </xf>
    <xf numFmtId="0" fontId="79" fillId="43" borderId="83" xfId="28" applyFont="1" applyFill="1" applyBorder="1" applyProtection="1">
      <protection locked="0"/>
    </xf>
    <xf numFmtId="0" fontId="79" fillId="43" borderId="84" xfId="28" applyFont="1" applyFill="1" applyBorder="1" applyProtection="1">
      <protection locked="0"/>
    </xf>
    <xf numFmtId="0" fontId="79" fillId="43" borderId="0" xfId="28" applyFont="1" applyFill="1" applyProtection="1">
      <protection locked="0"/>
    </xf>
    <xf numFmtId="3" fontId="79" fillId="43" borderId="83" xfId="28" applyNumberFormat="1" applyFont="1" applyFill="1" applyBorder="1" applyProtection="1">
      <protection locked="0"/>
    </xf>
    <xf numFmtId="6" fontId="79" fillId="43" borderId="84" xfId="28" applyNumberFormat="1" applyFont="1" applyFill="1" applyBorder="1" applyProtection="1">
      <protection locked="0"/>
    </xf>
    <xf numFmtId="0" fontId="80" fillId="43" borderId="84" xfId="28" applyFont="1" applyFill="1" applyBorder="1" applyProtection="1">
      <protection locked="0"/>
    </xf>
    <xf numFmtId="0" fontId="79" fillId="43" borderId="85" xfId="28" applyFont="1" applyFill="1" applyBorder="1" applyProtection="1">
      <protection locked="0"/>
    </xf>
    <xf numFmtId="0" fontId="79" fillId="43" borderId="82" xfId="28" applyFont="1" applyFill="1" applyBorder="1" applyProtection="1">
      <protection locked="0"/>
    </xf>
    <xf numFmtId="6" fontId="79" fillId="43" borderId="85" xfId="28" applyNumberFormat="1" applyFont="1" applyFill="1" applyBorder="1" applyProtection="1">
      <protection locked="0"/>
    </xf>
    <xf numFmtId="0" fontId="80" fillId="43" borderId="83" xfId="28" applyFont="1" applyFill="1" applyBorder="1" applyProtection="1">
      <protection locked="0"/>
    </xf>
    <xf numFmtId="0" fontId="79" fillId="44" borderId="83" xfId="28" applyFont="1" applyFill="1" applyBorder="1" applyProtection="1">
      <protection locked="0"/>
    </xf>
    <xf numFmtId="0" fontId="79" fillId="44" borderId="85" xfId="28" applyFont="1" applyFill="1" applyBorder="1" applyProtection="1">
      <protection locked="0"/>
    </xf>
    <xf numFmtId="14" fontId="82" fillId="41" borderId="85" xfId="28" applyNumberFormat="1" applyFont="1" applyFill="1" applyBorder="1" applyProtection="1">
      <protection locked="0"/>
    </xf>
    <xf numFmtId="3" fontId="79" fillId="42" borderId="83" xfId="28" applyNumberFormat="1" applyFont="1" applyFill="1" applyBorder="1" applyProtection="1">
      <protection locked="0"/>
    </xf>
    <xf numFmtId="0" fontId="79" fillId="44" borderId="84" xfId="28" applyFont="1" applyFill="1" applyBorder="1" applyProtection="1">
      <protection locked="0"/>
    </xf>
    <xf numFmtId="14" fontId="81" fillId="41" borderId="82" xfId="28" applyNumberFormat="1" applyFont="1" applyFill="1" applyBorder="1" applyProtection="1">
      <protection locked="0"/>
    </xf>
    <xf numFmtId="6" fontId="79" fillId="41" borderId="81" xfId="28" applyNumberFormat="1" applyFont="1" applyFill="1" applyBorder="1" applyProtection="1">
      <protection locked="0"/>
    </xf>
    <xf numFmtId="0" fontId="79" fillId="45" borderId="83" xfId="28" applyFont="1" applyFill="1" applyBorder="1" applyProtection="1">
      <protection locked="0"/>
    </xf>
    <xf numFmtId="0" fontId="79" fillId="45" borderId="84" xfId="28" applyFont="1" applyFill="1" applyBorder="1" applyProtection="1">
      <protection locked="0"/>
    </xf>
    <xf numFmtId="0" fontId="79" fillId="41" borderId="84" xfId="28" applyFont="1" applyFill="1" applyBorder="1" applyProtection="1">
      <protection locked="0"/>
    </xf>
    <xf numFmtId="3" fontId="79" fillId="45" borderId="83" xfId="28" applyNumberFormat="1" applyFont="1" applyFill="1" applyBorder="1" applyProtection="1">
      <protection locked="0"/>
    </xf>
    <xf numFmtId="6" fontId="79" fillId="45" borderId="84" xfId="28" applyNumberFormat="1" applyFont="1" applyFill="1" applyBorder="1" applyProtection="1">
      <protection locked="0"/>
    </xf>
    <xf numFmtId="6" fontId="79" fillId="41" borderId="84" xfId="28" applyNumberFormat="1" applyFont="1" applyFill="1" applyBorder="1" applyProtection="1">
      <protection locked="0"/>
    </xf>
    <xf numFmtId="0" fontId="80" fillId="40" borderId="84" xfId="28" applyFont="1" applyFill="1" applyBorder="1" applyProtection="1">
      <protection locked="0"/>
    </xf>
    <xf numFmtId="0" fontId="79" fillId="45" borderId="85" xfId="28" applyFont="1" applyFill="1" applyBorder="1" applyProtection="1">
      <protection locked="0"/>
    </xf>
    <xf numFmtId="6" fontId="79" fillId="45" borderId="85" xfId="28" applyNumberFormat="1" applyFont="1" applyFill="1" applyBorder="1" applyProtection="1">
      <protection locked="0"/>
    </xf>
    <xf numFmtId="0" fontId="80" fillId="45" borderId="83" xfId="28" applyFont="1" applyFill="1" applyBorder="1" applyProtection="1">
      <protection locked="0"/>
    </xf>
    <xf numFmtId="0" fontId="80" fillId="45" borderId="84" xfId="28" applyFont="1" applyFill="1" applyBorder="1" applyProtection="1">
      <protection locked="0"/>
    </xf>
    <xf numFmtId="14" fontId="81" fillId="41" borderId="85" xfId="28" applyNumberFormat="1" applyFont="1" applyFill="1" applyBorder="1" applyProtection="1">
      <protection locked="0"/>
    </xf>
    <xf numFmtId="3" fontId="79" fillId="44" borderId="83" xfId="28" applyNumberFormat="1" applyFont="1" applyFill="1" applyBorder="1" applyProtection="1">
      <protection locked="0"/>
    </xf>
    <xf numFmtId="6" fontId="79" fillId="44" borderId="84" xfId="28" applyNumberFormat="1" applyFont="1" applyFill="1" applyBorder="1" applyProtection="1">
      <protection locked="0"/>
    </xf>
    <xf numFmtId="0" fontId="79" fillId="44" borderId="81" xfId="28" applyFont="1" applyFill="1" applyBorder="1" applyProtection="1">
      <protection locked="0"/>
    </xf>
    <xf numFmtId="3" fontId="79" fillId="41" borderId="83" xfId="28" applyNumberFormat="1" applyFont="1" applyFill="1" applyBorder="1" applyProtection="1">
      <protection locked="0"/>
    </xf>
    <xf numFmtId="3" fontId="79" fillId="45" borderId="84" xfId="28" applyNumberFormat="1" applyFont="1" applyFill="1" applyBorder="1" applyProtection="1">
      <protection locked="0"/>
    </xf>
    <xf numFmtId="0" fontId="82" fillId="42" borderId="0" xfId="28" applyFont="1" applyFill="1" applyProtection="1">
      <protection locked="0"/>
    </xf>
    <xf numFmtId="0" fontId="79" fillId="40" borderId="0" xfId="28" applyFont="1" applyFill="1" applyProtection="1">
      <protection locked="0"/>
    </xf>
    <xf numFmtId="0" fontId="82" fillId="42" borderId="85" xfId="28" applyFont="1" applyFill="1" applyBorder="1" applyProtection="1">
      <protection locked="0"/>
    </xf>
    <xf numFmtId="0" fontId="2" fillId="13" borderId="83" xfId="28" applyFont="1" applyFill="1" applyBorder="1" applyAlignment="1" applyProtection="1">
      <alignment vertical="center" wrapText="1"/>
      <protection locked="0"/>
    </xf>
    <xf numFmtId="0" fontId="2" fillId="13" borderId="84" xfId="28" applyFont="1" applyFill="1" applyBorder="1" applyAlignment="1" applyProtection="1">
      <alignment vertical="center" wrapText="1"/>
      <protection locked="0"/>
    </xf>
    <xf numFmtId="0" fontId="2" fillId="13" borderId="85" xfId="28" applyFont="1" applyFill="1" applyBorder="1" applyAlignment="1" applyProtection="1">
      <alignment vertical="center" wrapText="1"/>
      <protection locked="0"/>
    </xf>
    <xf numFmtId="173" fontId="2" fillId="13" borderId="85" xfId="28" applyNumberFormat="1" applyFont="1" applyFill="1" applyBorder="1" applyAlignment="1" applyProtection="1">
      <alignment horizontal="right" vertical="center" wrapText="1"/>
      <protection locked="0"/>
    </xf>
    <xf numFmtId="3" fontId="2" fillId="13" borderId="83" xfId="28" applyNumberFormat="1" applyFont="1" applyFill="1" applyBorder="1" applyAlignment="1" applyProtection="1">
      <alignment horizontal="right" vertical="center" wrapText="1"/>
      <protection locked="0"/>
    </xf>
    <xf numFmtId="3" fontId="2" fillId="13" borderId="84" xfId="28" applyNumberFormat="1" applyFont="1" applyFill="1" applyBorder="1" applyAlignment="1" applyProtection="1">
      <alignment horizontal="right" vertical="center" wrapText="1"/>
      <protection locked="0"/>
    </xf>
    <xf numFmtId="164" fontId="2" fillId="13" borderId="84" xfId="28" applyNumberFormat="1" applyFont="1" applyFill="1" applyBorder="1" applyAlignment="1" applyProtection="1">
      <alignment horizontal="right" vertical="center" wrapText="1"/>
      <protection locked="0"/>
    </xf>
    <xf numFmtId="164" fontId="2" fillId="13" borderId="85" xfId="28" applyNumberFormat="1" applyFont="1" applyFill="1" applyBorder="1" applyAlignment="1" applyProtection="1">
      <alignment horizontal="right" vertical="center" wrapText="1"/>
      <protection locked="0"/>
    </xf>
    <xf numFmtId="164" fontId="9" fillId="13" borderId="83" xfId="28" applyNumberFormat="1" applyFont="1" applyFill="1" applyBorder="1" applyAlignment="1" applyProtection="1">
      <alignment horizontal="center" vertical="center" wrapText="1"/>
      <protection locked="0"/>
    </xf>
    <xf numFmtId="0" fontId="8" fillId="13" borderId="84" xfId="28" applyFont="1" applyFill="1" applyBorder="1" applyAlignment="1" applyProtection="1">
      <alignment horizontal="center" vertical="center" wrapText="1"/>
      <protection locked="0"/>
    </xf>
    <xf numFmtId="173" fontId="2" fillId="13" borderId="0" xfId="28" applyNumberFormat="1" applyFont="1" applyFill="1" applyAlignment="1" applyProtection="1">
      <alignment horizontal="right" vertical="center" wrapText="1"/>
      <protection locked="0"/>
    </xf>
    <xf numFmtId="3" fontId="2" fillId="13" borderId="81" xfId="28" applyNumberFormat="1" applyFont="1" applyFill="1" applyBorder="1" applyAlignment="1" applyProtection="1">
      <alignment horizontal="right" vertical="center" wrapText="1"/>
      <protection locked="0"/>
    </xf>
    <xf numFmtId="164" fontId="2" fillId="13" borderId="82" xfId="28" applyNumberFormat="1" applyFont="1" applyFill="1" applyBorder="1" applyAlignment="1" applyProtection="1">
      <alignment horizontal="right" vertical="center" wrapText="1"/>
      <protection locked="0"/>
    </xf>
    <xf numFmtId="164" fontId="9" fillId="13" borderId="84" xfId="28" applyNumberFormat="1" applyFont="1" applyFill="1" applyBorder="1" applyAlignment="1" applyProtection="1">
      <alignment horizontal="center" vertical="center" wrapText="1"/>
      <protection locked="0"/>
    </xf>
    <xf numFmtId="173" fontId="2" fillId="13" borderId="82" xfId="28" applyNumberFormat="1" applyFont="1" applyFill="1" applyBorder="1" applyAlignment="1" applyProtection="1">
      <alignment horizontal="right" vertical="center" wrapText="1"/>
      <protection locked="0"/>
    </xf>
    <xf numFmtId="0" fontId="2" fillId="13" borderId="81" xfId="28" applyFont="1" applyFill="1" applyBorder="1" applyAlignment="1" applyProtection="1">
      <alignment vertical="center" wrapText="1"/>
      <protection locked="0"/>
    </xf>
    <xf numFmtId="3" fontId="2" fillId="13" borderId="80" xfId="28" applyNumberFormat="1" applyFont="1" applyFill="1" applyBorder="1" applyAlignment="1" applyProtection="1">
      <alignment horizontal="right" vertical="center" wrapText="1"/>
      <protection locked="0"/>
    </xf>
    <xf numFmtId="164" fontId="2" fillId="13" borderId="81" xfId="28" applyNumberFormat="1" applyFont="1" applyFill="1" applyBorder="1" applyAlignment="1" applyProtection="1">
      <alignment horizontal="right" vertical="center" wrapText="1"/>
      <protection locked="0"/>
    </xf>
    <xf numFmtId="164" fontId="9" fillId="13" borderId="81" xfId="28" applyNumberFormat="1" applyFont="1" applyFill="1" applyBorder="1" applyAlignment="1" applyProtection="1">
      <alignment horizontal="center" vertical="center" wrapText="1"/>
      <protection locked="0"/>
    </xf>
    <xf numFmtId="0" fontId="8" fillId="13" borderId="81" xfId="28" applyFont="1" applyFill="1" applyBorder="1" applyAlignment="1" applyProtection="1">
      <alignment horizontal="center" vertical="center" wrapText="1"/>
      <protection locked="0"/>
    </xf>
    <xf numFmtId="0" fontId="2" fillId="43" borderId="84" xfId="28" applyFont="1" applyFill="1" applyBorder="1" applyProtection="1">
      <protection locked="0"/>
    </xf>
    <xf numFmtId="0" fontId="2" fillId="40" borderId="85" xfId="28" applyFont="1" applyFill="1" applyBorder="1" applyProtection="1">
      <protection locked="0"/>
    </xf>
    <xf numFmtId="0" fontId="80" fillId="44" borderId="84" xfId="28" applyFont="1" applyFill="1" applyBorder="1" applyProtection="1">
      <protection locked="0"/>
    </xf>
    <xf numFmtId="0" fontId="79" fillId="44" borderId="0" xfId="28" applyFont="1" applyFill="1" applyProtection="1">
      <protection locked="0"/>
    </xf>
    <xf numFmtId="3" fontId="79" fillId="44" borderId="84" xfId="28" applyNumberFormat="1" applyFont="1" applyFill="1" applyBorder="1" applyProtection="1">
      <protection locked="0"/>
    </xf>
    <xf numFmtId="6" fontId="79" fillId="44" borderId="85" xfId="28" applyNumberFormat="1" applyFont="1" applyFill="1" applyBorder="1" applyProtection="1">
      <protection locked="0"/>
    </xf>
    <xf numFmtId="0" fontId="80" fillId="44" borderId="83" xfId="28" applyFont="1" applyFill="1" applyBorder="1" applyProtection="1">
      <protection locked="0"/>
    </xf>
    <xf numFmtId="0" fontId="2" fillId="13" borderId="30" xfId="28" applyFont="1" applyFill="1" applyBorder="1" applyAlignment="1" applyProtection="1">
      <alignment vertical="center" wrapText="1"/>
      <protection locked="0"/>
    </xf>
    <xf numFmtId="0" fontId="2" fillId="13" borderId="6" xfId="28" applyFont="1" applyFill="1" applyBorder="1" applyAlignment="1" applyProtection="1">
      <alignment vertical="center" wrapText="1"/>
      <protection locked="0"/>
    </xf>
    <xf numFmtId="0" fontId="2" fillId="13" borderId="36" xfId="28" applyFont="1" applyFill="1" applyBorder="1" applyAlignment="1" applyProtection="1">
      <alignment vertical="center" wrapText="1"/>
      <protection locked="0"/>
    </xf>
    <xf numFmtId="173" fontId="2" fillId="13" borderId="72" xfId="28" applyNumberFormat="1" applyFont="1" applyFill="1" applyBorder="1" applyAlignment="1" applyProtection="1">
      <alignment horizontal="right" vertical="center" wrapText="1"/>
      <protection locked="0"/>
    </xf>
    <xf numFmtId="3" fontId="2" fillId="13" borderId="72" xfId="28" applyNumberFormat="1" applyFont="1" applyFill="1" applyBorder="1" applyAlignment="1" applyProtection="1">
      <alignment horizontal="right" vertical="center" wrapText="1"/>
      <protection locked="0"/>
    </xf>
    <xf numFmtId="3" fontId="2" fillId="13" borderId="19" xfId="28" applyNumberFormat="1" applyFont="1" applyFill="1" applyBorder="1" applyAlignment="1" applyProtection="1">
      <alignment horizontal="right" vertical="center" wrapText="1"/>
      <protection locked="0"/>
    </xf>
    <xf numFmtId="3" fontId="2" fillId="13" borderId="6" xfId="28" applyNumberFormat="1" applyFont="1" applyFill="1" applyBorder="1" applyAlignment="1" applyProtection="1">
      <alignment horizontal="right" vertical="center" wrapText="1"/>
      <protection locked="0"/>
    </xf>
    <xf numFmtId="164" fontId="2" fillId="13" borderId="72" xfId="28" applyNumberFormat="1" applyFont="1" applyFill="1" applyBorder="1" applyAlignment="1" applyProtection="1">
      <alignment horizontal="right" vertical="center" wrapText="1"/>
      <protection locked="0"/>
    </xf>
    <xf numFmtId="164" fontId="2" fillId="13" borderId="19" xfId="28" applyNumberFormat="1" applyFont="1" applyFill="1" applyBorder="1" applyAlignment="1" applyProtection="1">
      <alignment horizontal="right" vertical="center" wrapText="1"/>
      <protection locked="0"/>
    </xf>
    <xf numFmtId="164" fontId="2" fillId="13" borderId="6" xfId="28" applyNumberFormat="1" applyFont="1" applyFill="1" applyBorder="1" applyAlignment="1" applyProtection="1">
      <alignment horizontal="right" vertical="center" wrapText="1"/>
      <protection locked="0"/>
    </xf>
    <xf numFmtId="164" fontId="9" fillId="13" borderId="72" xfId="28" applyNumberFormat="1" applyFont="1" applyFill="1" applyBorder="1" applyAlignment="1" applyProtection="1">
      <alignment horizontal="center" vertical="center" wrapText="1"/>
      <protection locked="0"/>
    </xf>
    <xf numFmtId="0" fontId="8" fillId="13" borderId="6" xfId="28" applyFont="1" applyFill="1" applyBorder="1" applyAlignment="1" applyProtection="1">
      <alignment horizontal="center" vertical="center" wrapText="1"/>
      <protection locked="0"/>
    </xf>
    <xf numFmtId="0" fontId="79" fillId="40" borderId="30" xfId="28" applyFont="1" applyFill="1" applyBorder="1" applyProtection="1">
      <protection locked="0"/>
    </xf>
    <xf numFmtId="0" fontId="79" fillId="40" borderId="6" xfId="28" applyFont="1" applyFill="1" applyBorder="1" applyProtection="1">
      <protection locked="0"/>
    </xf>
    <xf numFmtId="0" fontId="79" fillId="40" borderId="36" xfId="28" applyFont="1" applyFill="1" applyBorder="1" applyProtection="1">
      <protection locked="0"/>
    </xf>
    <xf numFmtId="0" fontId="79" fillId="40" borderId="72" xfId="28" applyFont="1" applyFill="1" applyBorder="1" applyProtection="1">
      <protection locked="0"/>
    </xf>
    <xf numFmtId="3" fontId="79" fillId="40" borderId="72" xfId="28" applyNumberFormat="1" applyFont="1" applyFill="1" applyBorder="1" applyProtection="1">
      <protection locked="0"/>
    </xf>
    <xf numFmtId="3" fontId="79" fillId="40" borderId="19" xfId="28" applyNumberFormat="1" applyFont="1" applyFill="1" applyBorder="1" applyProtection="1">
      <protection locked="0"/>
    </xf>
    <xf numFmtId="0" fontId="79" fillId="40" borderId="19" xfId="28" applyFont="1" applyFill="1" applyBorder="1" applyProtection="1">
      <protection locked="0"/>
    </xf>
    <xf numFmtId="6" fontId="79" fillId="40" borderId="72" xfId="28" applyNumberFormat="1" applyFont="1" applyFill="1" applyBorder="1" applyProtection="1">
      <protection locked="0"/>
    </xf>
    <xf numFmtId="6" fontId="79" fillId="40" borderId="19" xfId="28" applyNumberFormat="1" applyFont="1" applyFill="1" applyBorder="1" applyProtection="1">
      <protection locked="0"/>
    </xf>
    <xf numFmtId="6" fontId="79" fillId="40" borderId="6" xfId="28" applyNumberFormat="1" applyFont="1" applyFill="1" applyBorder="1" applyProtection="1">
      <protection locked="0"/>
    </xf>
    <xf numFmtId="0" fontId="80" fillId="40" borderId="72" xfId="28" applyFont="1" applyFill="1" applyBorder="1" applyProtection="1">
      <protection locked="0"/>
    </xf>
    <xf numFmtId="0" fontId="80" fillId="40" borderId="6" xfId="28" applyFont="1" applyFill="1" applyBorder="1" applyProtection="1">
      <protection locked="0"/>
    </xf>
    <xf numFmtId="0" fontId="79" fillId="45" borderId="30" xfId="28" applyFont="1" applyFill="1" applyBorder="1" applyProtection="1">
      <protection locked="0"/>
    </xf>
    <xf numFmtId="0" fontId="79" fillId="45" borderId="6" xfId="28" applyFont="1" applyFill="1" applyBorder="1" applyProtection="1">
      <protection locked="0"/>
    </xf>
    <xf numFmtId="0" fontId="79" fillId="45" borderId="36" xfId="28" applyFont="1" applyFill="1" applyBorder="1" applyProtection="1">
      <protection locked="0"/>
    </xf>
    <xf numFmtId="3" fontId="79" fillId="45" borderId="72" xfId="28" applyNumberFormat="1" applyFont="1" applyFill="1" applyBorder="1" applyProtection="1">
      <protection locked="0"/>
    </xf>
    <xf numFmtId="0" fontId="79" fillId="45" borderId="19" xfId="28" applyFont="1" applyFill="1" applyBorder="1" applyProtection="1">
      <protection locked="0"/>
    </xf>
    <xf numFmtId="6" fontId="79" fillId="45" borderId="72" xfId="28" applyNumberFormat="1" applyFont="1" applyFill="1" applyBorder="1" applyProtection="1">
      <protection locked="0"/>
    </xf>
    <xf numFmtId="6" fontId="79" fillId="45" borderId="19" xfId="28" applyNumberFormat="1" applyFont="1" applyFill="1" applyBorder="1" applyProtection="1">
      <protection locked="0"/>
    </xf>
    <xf numFmtId="6" fontId="79" fillId="45" borderId="6" xfId="28" applyNumberFormat="1" applyFont="1" applyFill="1" applyBorder="1" applyProtection="1">
      <protection locked="0"/>
    </xf>
    <xf numFmtId="0" fontId="80" fillId="45" borderId="72" xfId="28" applyFont="1" applyFill="1" applyBorder="1" applyProtection="1">
      <protection locked="0"/>
    </xf>
    <xf numFmtId="0" fontId="80" fillId="45" borderId="6" xfId="28" applyFont="1" applyFill="1" applyBorder="1" applyProtection="1">
      <protection locked="0"/>
    </xf>
    <xf numFmtId="0" fontId="79" fillId="45" borderId="72" xfId="28" applyFont="1" applyFill="1" applyBorder="1" applyProtection="1">
      <protection locked="0"/>
    </xf>
    <xf numFmtId="0" fontId="79" fillId="44" borderId="30" xfId="28" applyFont="1" applyFill="1" applyBorder="1" applyProtection="1">
      <protection locked="0"/>
    </xf>
    <xf numFmtId="0" fontId="79" fillId="44" borderId="6" xfId="28" applyFont="1" applyFill="1" applyBorder="1" applyProtection="1">
      <protection locked="0"/>
    </xf>
    <xf numFmtId="0" fontId="79" fillId="44" borderId="36" xfId="28" applyFont="1" applyFill="1" applyBorder="1" applyProtection="1">
      <protection locked="0"/>
    </xf>
    <xf numFmtId="0" fontId="79" fillId="44" borderId="72" xfId="28" applyFont="1" applyFill="1" applyBorder="1" applyProtection="1">
      <protection locked="0"/>
    </xf>
    <xf numFmtId="0" fontId="79" fillId="44" borderId="19" xfId="28" applyFont="1" applyFill="1" applyBorder="1" applyProtection="1">
      <protection locked="0"/>
    </xf>
    <xf numFmtId="6" fontId="79" fillId="44" borderId="72" xfId="28" applyNumberFormat="1" applyFont="1" applyFill="1" applyBorder="1" applyProtection="1">
      <protection locked="0"/>
    </xf>
    <xf numFmtId="6" fontId="79" fillId="44" borderId="19" xfId="28" applyNumberFormat="1" applyFont="1" applyFill="1" applyBorder="1" applyProtection="1">
      <protection locked="0"/>
    </xf>
    <xf numFmtId="6" fontId="79" fillId="44" borderId="6" xfId="28" applyNumberFormat="1" applyFont="1" applyFill="1" applyBorder="1" applyProtection="1">
      <protection locked="0"/>
    </xf>
    <xf numFmtId="0" fontId="80" fillId="44" borderId="72" xfId="28" applyFont="1" applyFill="1" applyBorder="1" applyProtection="1">
      <protection locked="0"/>
    </xf>
    <xf numFmtId="0" fontId="80" fillId="44" borderId="6" xfId="28" applyFont="1" applyFill="1" applyBorder="1" applyProtection="1">
      <protection locked="0"/>
    </xf>
    <xf numFmtId="3" fontId="79" fillId="44" borderId="72" xfId="28" applyNumberFormat="1" applyFont="1" applyFill="1" applyBorder="1" applyProtection="1">
      <protection locked="0"/>
    </xf>
    <xf numFmtId="3" fontId="79" fillId="44" borderId="19" xfId="28" applyNumberFormat="1" applyFont="1" applyFill="1" applyBorder="1" applyProtection="1">
      <protection locked="0"/>
    </xf>
    <xf numFmtId="0" fontId="79" fillId="43" borderId="30" xfId="28" applyFont="1" applyFill="1" applyBorder="1" applyProtection="1">
      <protection locked="0"/>
    </xf>
    <xf numFmtId="0" fontId="79" fillId="43" borderId="6" xfId="28" applyFont="1" applyFill="1" applyBorder="1" applyProtection="1">
      <protection locked="0"/>
    </xf>
    <xf numFmtId="0" fontId="79" fillId="43" borderId="36" xfId="28" applyFont="1" applyFill="1" applyBorder="1" applyProtection="1">
      <protection locked="0"/>
    </xf>
    <xf numFmtId="3" fontId="79" fillId="43" borderId="72" xfId="28" applyNumberFormat="1" applyFont="1" applyFill="1" applyBorder="1" applyProtection="1">
      <protection locked="0"/>
    </xf>
    <xf numFmtId="0" fontId="79" fillId="43" borderId="19" xfId="28" applyFont="1" applyFill="1" applyBorder="1" applyProtection="1">
      <protection locked="0"/>
    </xf>
    <xf numFmtId="6" fontId="79" fillId="43" borderId="72" xfId="28" applyNumberFormat="1" applyFont="1" applyFill="1" applyBorder="1" applyProtection="1">
      <protection locked="0"/>
    </xf>
    <xf numFmtId="6" fontId="79" fillId="43" borderId="19" xfId="28" applyNumberFormat="1" applyFont="1" applyFill="1" applyBorder="1" applyProtection="1">
      <protection locked="0"/>
    </xf>
    <xf numFmtId="6" fontId="79" fillId="43" borderId="6" xfId="28" applyNumberFormat="1" applyFont="1" applyFill="1" applyBorder="1" applyProtection="1">
      <protection locked="0"/>
    </xf>
    <xf numFmtId="0" fontId="80" fillId="43" borderId="72" xfId="28" applyFont="1" applyFill="1" applyBorder="1" applyProtection="1">
      <protection locked="0"/>
    </xf>
    <xf numFmtId="0" fontId="80" fillId="43" borderId="6" xfId="28" applyFont="1" applyFill="1" applyBorder="1" applyProtection="1">
      <protection locked="0"/>
    </xf>
    <xf numFmtId="0" fontId="79" fillId="43" borderId="72" xfId="28" applyFont="1" applyFill="1" applyBorder="1" applyProtection="1">
      <protection locked="0"/>
    </xf>
    <xf numFmtId="3" fontId="79" fillId="45" borderId="19" xfId="28" applyNumberFormat="1" applyFont="1" applyFill="1" applyBorder="1" applyProtection="1">
      <protection locked="0"/>
    </xf>
    <xf numFmtId="3" fontId="79" fillId="45" borderId="6" xfId="28" applyNumberFormat="1" applyFont="1" applyFill="1" applyBorder="1" applyProtection="1">
      <protection locked="0"/>
    </xf>
    <xf numFmtId="0" fontId="6" fillId="11" borderId="0" xfId="0" applyFont="1" applyFill="1" applyBorder="1" applyAlignment="1" applyProtection="1">
      <alignment horizontal="left" vertical="top" wrapText="1"/>
    </xf>
    <xf numFmtId="0" fontId="6" fillId="11" borderId="17" xfId="0" applyFont="1" applyFill="1" applyBorder="1" applyAlignment="1" applyProtection="1">
      <alignment horizontal="left" vertical="top" wrapText="1"/>
    </xf>
    <xf numFmtId="0" fontId="6" fillId="0" borderId="0" xfId="0" applyFont="1" applyBorder="1" applyAlignment="1" applyProtection="1">
      <alignment horizontal="left" vertical="center" wrapText="1"/>
    </xf>
    <xf numFmtId="0" fontId="0" fillId="0" borderId="0" xfId="0" applyBorder="1" applyAlignment="1" applyProtection="1">
      <alignment horizontal="left" vertical="center" wrapText="1"/>
    </xf>
    <xf numFmtId="0" fontId="3" fillId="0" borderId="0" xfId="0" applyFont="1" applyBorder="1" applyAlignment="1" applyProtection="1">
      <alignment horizontal="center" vertical="center" wrapText="1"/>
    </xf>
    <xf numFmtId="0" fontId="11" fillId="0" borderId="0" xfId="0" applyFont="1" applyBorder="1" applyAlignment="1" applyProtection="1">
      <alignment horizontal="center" vertical="center" wrapText="1"/>
    </xf>
    <xf numFmtId="0" fontId="6" fillId="11" borderId="0" xfId="0" applyFont="1" applyFill="1" applyBorder="1" applyAlignment="1" applyProtection="1">
      <alignment horizontal="left" vertical="center" wrapText="1"/>
    </xf>
    <xf numFmtId="0" fontId="0" fillId="11" borderId="0" xfId="0" applyFill="1" applyBorder="1" applyAlignment="1" applyProtection="1">
      <alignment horizontal="left" vertical="center" wrapText="1"/>
    </xf>
    <xf numFmtId="0" fontId="6" fillId="0" borderId="0" xfId="0" applyFont="1" applyBorder="1" applyAlignment="1" applyProtection="1">
      <alignment horizontal="left" wrapText="1"/>
    </xf>
    <xf numFmtId="0" fontId="11" fillId="13" borderId="0" xfId="0" applyFont="1" applyFill="1" applyBorder="1" applyAlignment="1" applyProtection="1">
      <alignment horizontal="left" vertical="center" wrapText="1"/>
    </xf>
    <xf numFmtId="0" fontId="65" fillId="13" borderId="0" xfId="0" applyFont="1" applyFill="1" applyBorder="1" applyAlignment="1" applyProtection="1">
      <alignment horizontal="left" vertical="center" wrapText="1"/>
    </xf>
    <xf numFmtId="0" fontId="65" fillId="0" borderId="0" xfId="0" applyFont="1" applyFill="1" applyBorder="1" applyAlignment="1" applyProtection="1">
      <alignment horizontal="center" vertical="center" wrapText="1"/>
    </xf>
    <xf numFmtId="0" fontId="11" fillId="0" borderId="19" xfId="0" applyFont="1" applyBorder="1" applyAlignment="1">
      <alignment vertical="center" wrapText="1"/>
    </xf>
    <xf numFmtId="0" fontId="11" fillId="0" borderId="33" xfId="0" applyFont="1" applyBorder="1" applyAlignment="1">
      <alignment vertical="center" wrapText="1"/>
    </xf>
    <xf numFmtId="0" fontId="11" fillId="0" borderId="5" xfId="0" applyFont="1" applyBorder="1" applyAlignment="1">
      <alignment vertical="center" wrapText="1"/>
    </xf>
    <xf numFmtId="0" fontId="11" fillId="0" borderId="68" xfId="0" applyFont="1" applyBorder="1" applyAlignment="1">
      <alignment vertical="center" wrapText="1"/>
    </xf>
    <xf numFmtId="0" fontId="11" fillId="25" borderId="19" xfId="0" applyFont="1" applyFill="1" applyBorder="1" applyAlignment="1">
      <alignment horizontal="center"/>
    </xf>
    <xf numFmtId="0" fontId="6" fillId="0" borderId="0" xfId="0" applyFont="1" applyBorder="1" applyAlignment="1">
      <alignment horizontal="left" vertical="top" wrapText="1"/>
    </xf>
    <xf numFmtId="0" fontId="11" fillId="0" borderId="19" xfId="0" applyFont="1" applyBorder="1" applyAlignment="1">
      <alignment vertical="center"/>
    </xf>
    <xf numFmtId="0" fontId="11" fillId="0" borderId="33" xfId="0" applyFont="1" applyBorder="1" applyAlignment="1">
      <alignment vertical="center"/>
    </xf>
    <xf numFmtId="0" fontId="11" fillId="0" borderId="68" xfId="0" applyFont="1" applyBorder="1" applyAlignment="1">
      <alignment vertical="center"/>
    </xf>
    <xf numFmtId="0" fontId="11" fillId="0" borderId="5" xfId="0" applyFont="1" applyBorder="1" applyAlignment="1">
      <alignment vertical="center"/>
    </xf>
    <xf numFmtId="0" fontId="6" fillId="0" borderId="70"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72" xfId="0" applyFont="1" applyBorder="1" applyAlignment="1">
      <alignment horizontal="center" vertical="center" wrapText="1"/>
    </xf>
    <xf numFmtId="0" fontId="3" fillId="2" borderId="11" xfId="0" applyFont="1" applyFill="1" applyBorder="1" applyAlignment="1" applyProtection="1">
      <alignment horizontal="center" wrapText="1"/>
    </xf>
    <xf numFmtId="0" fontId="3" fillId="2" borderId="12" xfId="0" applyFont="1" applyFill="1" applyBorder="1" applyAlignment="1" applyProtection="1">
      <alignment horizontal="center" wrapText="1"/>
    </xf>
    <xf numFmtId="0" fontId="3" fillId="2" borderId="13" xfId="0" applyFont="1" applyFill="1" applyBorder="1" applyAlignment="1" applyProtection="1">
      <alignment horizontal="center" wrapText="1"/>
    </xf>
    <xf numFmtId="0" fontId="38" fillId="2" borderId="16" xfId="9" applyFont="1" applyFill="1" applyBorder="1" applyAlignment="1" applyProtection="1">
      <alignment horizontal="center" vertical="center" wrapText="1"/>
    </xf>
    <xf numFmtId="0" fontId="38" fillId="2" borderId="17" xfId="9" applyFont="1" applyFill="1" applyBorder="1" applyAlignment="1" applyProtection="1">
      <alignment horizontal="center" vertical="center" wrapText="1"/>
    </xf>
    <xf numFmtId="0" fontId="38" fillId="2" borderId="18" xfId="9" applyFont="1" applyFill="1" applyBorder="1" applyAlignment="1" applyProtection="1">
      <alignment horizontal="center" vertical="center" wrapText="1"/>
    </xf>
    <xf numFmtId="0" fontId="6" fillId="11" borderId="0" xfId="0" applyFont="1" applyFill="1" applyBorder="1" applyAlignment="1" applyProtection="1">
      <alignment horizontal="left" vertical="center"/>
    </xf>
    <xf numFmtId="0" fontId="0" fillId="0" borderId="0" xfId="0" applyBorder="1" applyAlignment="1" applyProtection="1">
      <alignment horizontal="left" vertical="center"/>
    </xf>
    <xf numFmtId="0" fontId="11" fillId="11" borderId="0" xfId="0" applyFont="1" applyFill="1" applyBorder="1" applyAlignment="1" applyProtection="1">
      <alignment horizontal="left"/>
    </xf>
    <xf numFmtId="0" fontId="0" fillId="11" borderId="0" xfId="0" applyFill="1" applyBorder="1" applyAlignment="1" applyProtection="1"/>
    <xf numFmtId="0" fontId="11" fillId="13" borderId="42" xfId="0" applyFont="1" applyFill="1" applyBorder="1" applyAlignment="1" applyProtection="1">
      <alignment horizontal="left" vertical="top" wrapText="1"/>
    </xf>
    <xf numFmtId="0" fontId="11" fillId="13" borderId="39" xfId="0" applyFont="1" applyFill="1" applyBorder="1" applyAlignment="1" applyProtection="1">
      <alignment horizontal="left" vertical="top" wrapText="1"/>
    </xf>
    <xf numFmtId="0" fontId="11" fillId="13" borderId="26" xfId="0" applyFont="1" applyFill="1" applyBorder="1" applyAlignment="1" applyProtection="1">
      <alignment horizontal="left" vertical="top" wrapText="1"/>
    </xf>
    <xf numFmtId="0" fontId="17" fillId="2" borderId="11" xfId="0" applyFont="1" applyFill="1" applyBorder="1" applyAlignment="1" applyProtection="1">
      <alignment horizontal="center" wrapText="1"/>
    </xf>
    <xf numFmtId="0" fontId="17" fillId="2" borderId="12" xfId="0" applyFont="1" applyFill="1" applyBorder="1" applyAlignment="1" applyProtection="1">
      <alignment horizontal="center" wrapText="1"/>
    </xf>
    <xf numFmtId="0" fontId="3" fillId="0" borderId="0" xfId="0" applyFont="1" applyFill="1" applyBorder="1" applyAlignment="1" applyProtection="1">
      <alignment horizontal="left"/>
    </xf>
    <xf numFmtId="0" fontId="5" fillId="0" borderId="0" xfId="9" applyBorder="1" applyAlignment="1" applyProtection="1">
      <alignment horizontal="left" vertical="center" wrapText="1"/>
    </xf>
    <xf numFmtId="0" fontId="3" fillId="16" borderId="0" xfId="0" applyFont="1" applyFill="1" applyBorder="1" applyAlignment="1" applyProtection="1">
      <alignment horizontal="left"/>
    </xf>
    <xf numFmtId="0" fontId="5" fillId="0" borderId="0" xfId="9" applyBorder="1" applyAlignment="1" applyProtection="1">
      <alignment horizontal="left"/>
    </xf>
    <xf numFmtId="0" fontId="6" fillId="0" borderId="42" xfId="0" applyFont="1" applyBorder="1" applyAlignment="1" applyProtection="1">
      <alignment horizontal="left" vertical="center" indent="1"/>
    </xf>
    <xf numFmtId="0" fontId="6" fillId="0" borderId="39" xfId="0" applyFont="1" applyBorder="1" applyAlignment="1" applyProtection="1">
      <alignment horizontal="left" vertical="center" indent="1"/>
    </xf>
    <xf numFmtId="0" fontId="6" fillId="0" borderId="26" xfId="0" applyFont="1" applyBorder="1" applyAlignment="1" applyProtection="1">
      <alignment horizontal="left" vertical="center" indent="1"/>
    </xf>
    <xf numFmtId="0" fontId="11" fillId="22" borderId="0" xfId="0" applyFont="1" applyFill="1" applyBorder="1" applyAlignment="1" applyProtection="1">
      <alignment horizontal="left" vertical="center" wrapText="1" indent="1"/>
    </xf>
    <xf numFmtId="0" fontId="6" fillId="0" borderId="11" xfId="0" applyFont="1" applyBorder="1" applyAlignment="1" applyProtection="1">
      <alignment horizontal="left" vertical="center" wrapText="1" indent="1"/>
    </xf>
    <xf numFmtId="0" fontId="6" fillId="0" borderId="12" xfId="0" applyFont="1" applyBorder="1" applyAlignment="1" applyProtection="1">
      <alignment horizontal="left" vertical="center" wrapText="1" indent="1"/>
    </xf>
    <xf numFmtId="0" fontId="6" fillId="0" borderId="16" xfId="0" applyFont="1" applyBorder="1" applyAlignment="1" applyProtection="1">
      <alignment horizontal="left" vertical="center" wrapText="1" indent="1"/>
    </xf>
    <xf numFmtId="0" fontId="6" fillId="0" borderId="17" xfId="0" applyFont="1" applyBorder="1" applyAlignment="1" applyProtection="1">
      <alignment horizontal="left" vertical="center" wrapText="1" indent="1"/>
    </xf>
    <xf numFmtId="0" fontId="6" fillId="10" borderId="17" xfId="0" applyFont="1" applyFill="1" applyBorder="1" applyAlignment="1" applyProtection="1">
      <alignment horizontal="left" vertical="center" wrapText="1" indent="1"/>
    </xf>
    <xf numFmtId="0" fontId="6" fillId="0" borderId="0" xfId="0" applyFont="1" applyBorder="1" applyAlignment="1" applyProtection="1">
      <alignment horizontal="left" vertical="center" wrapText="1" indent="1"/>
    </xf>
    <xf numFmtId="0" fontId="0" fillId="0" borderId="0" xfId="0" applyBorder="1" applyAlignment="1" applyProtection="1">
      <alignment horizontal="left" vertical="center" wrapText="1" indent="1"/>
    </xf>
    <xf numFmtId="0" fontId="5" fillId="0" borderId="0" xfId="9" applyFill="1" applyBorder="1" applyAlignment="1" applyProtection="1">
      <alignment horizontal="center" vertical="top" wrapText="1"/>
      <protection locked="0"/>
    </xf>
    <xf numFmtId="0" fontId="6" fillId="0" borderId="0" xfId="0" applyFont="1" applyAlignment="1">
      <alignment horizontal="left" vertical="top" wrapText="1" indent="1"/>
    </xf>
    <xf numFmtId="0" fontId="6" fillId="0" borderId="42" xfId="0" applyFont="1" applyFill="1" applyBorder="1" applyAlignment="1" applyProtection="1">
      <alignment horizontal="left" vertical="center" wrapText="1" indent="1"/>
    </xf>
    <xf numFmtId="0" fontId="6" fillId="0" borderId="39" xfId="0" applyFont="1" applyFill="1" applyBorder="1" applyAlignment="1" applyProtection="1">
      <alignment horizontal="left" vertical="center" wrapText="1" indent="1"/>
    </xf>
    <xf numFmtId="0" fontId="6" fillId="0" borderId="26" xfId="0" applyFont="1" applyFill="1" applyBorder="1" applyAlignment="1" applyProtection="1">
      <alignment horizontal="left" vertical="center" wrapText="1" indent="1"/>
    </xf>
    <xf numFmtId="0" fontId="69" fillId="0" borderId="42" xfId="0" applyFont="1" applyFill="1" applyBorder="1" applyAlignment="1" applyProtection="1">
      <alignment horizontal="left" vertical="center" wrapText="1" indent="1"/>
    </xf>
    <xf numFmtId="0" fontId="69" fillId="0" borderId="39" xfId="0" applyFont="1" applyFill="1" applyBorder="1" applyAlignment="1" applyProtection="1">
      <alignment horizontal="left" vertical="center" wrapText="1" indent="1"/>
    </xf>
    <xf numFmtId="0" fontId="69" fillId="0" borderId="26" xfId="0" applyFont="1" applyFill="1" applyBorder="1" applyAlignment="1" applyProtection="1">
      <alignment horizontal="left" vertical="center" wrapText="1" indent="1"/>
    </xf>
    <xf numFmtId="0" fontId="14" fillId="0" borderId="0" xfId="0" applyFont="1" applyBorder="1" applyAlignment="1" applyProtection="1">
      <alignment horizontal="left" wrapText="1"/>
    </xf>
    <xf numFmtId="0" fontId="11" fillId="27" borderId="73" xfId="0" applyFont="1" applyFill="1" applyBorder="1" applyAlignment="1" applyProtection="1">
      <alignment horizontal="left" vertical="top" wrapText="1"/>
      <protection locked="0"/>
    </xf>
    <xf numFmtId="0" fontId="11" fillId="27" borderId="74" xfId="0" applyFont="1" applyFill="1" applyBorder="1" applyAlignment="1" applyProtection="1">
      <alignment horizontal="left" vertical="top" wrapText="1"/>
      <protection locked="0"/>
    </xf>
    <xf numFmtId="0" fontId="11" fillId="27" borderId="75" xfId="0" applyFont="1" applyFill="1" applyBorder="1" applyAlignment="1" applyProtection="1">
      <alignment horizontal="left" vertical="top" wrapText="1"/>
      <protection locked="0"/>
    </xf>
    <xf numFmtId="0" fontId="11" fillId="27" borderId="63" xfId="0" applyFont="1" applyFill="1" applyBorder="1" applyAlignment="1" applyProtection="1">
      <alignment horizontal="left" vertical="top" wrapText="1"/>
      <protection locked="0"/>
    </xf>
    <xf numFmtId="0" fontId="11" fillId="27" borderId="0" xfId="0" applyFont="1" applyFill="1" applyBorder="1" applyAlignment="1" applyProtection="1">
      <alignment horizontal="left" vertical="top" wrapText="1"/>
      <protection locked="0"/>
    </xf>
    <xf numFmtId="0" fontId="11" fillId="27" borderId="64" xfId="0" applyFont="1" applyFill="1" applyBorder="1" applyAlignment="1" applyProtection="1">
      <alignment horizontal="left" vertical="top" wrapText="1"/>
      <protection locked="0"/>
    </xf>
    <xf numFmtId="0" fontId="11" fillId="27" borderId="49" xfId="0" applyFont="1" applyFill="1" applyBorder="1" applyAlignment="1" applyProtection="1">
      <alignment horizontal="left" vertical="top" wrapText="1"/>
      <protection locked="0"/>
    </xf>
    <xf numFmtId="0" fontId="11" fillId="27" borderId="2" xfId="0" applyFont="1" applyFill="1" applyBorder="1" applyAlignment="1" applyProtection="1">
      <alignment horizontal="left" vertical="top" wrapText="1"/>
      <protection locked="0"/>
    </xf>
    <xf numFmtId="0" fontId="11" fillId="27" borderId="47" xfId="0" applyFont="1" applyFill="1" applyBorder="1" applyAlignment="1" applyProtection="1">
      <alignment horizontal="left" vertical="top" wrapText="1"/>
      <protection locked="0"/>
    </xf>
    <xf numFmtId="0" fontId="6" fillId="0" borderId="11" xfId="0" applyFont="1" applyFill="1" applyBorder="1" applyAlignment="1" applyProtection="1">
      <alignment horizontal="left" vertical="center" wrapText="1" indent="1"/>
    </xf>
    <xf numFmtId="0" fontId="6" fillId="0" borderId="12" xfId="0" applyFont="1" applyFill="1" applyBorder="1" applyAlignment="1" applyProtection="1">
      <alignment horizontal="left" vertical="center" wrapText="1" indent="1"/>
    </xf>
    <xf numFmtId="0" fontId="6" fillId="0" borderId="13" xfId="0" applyFont="1" applyFill="1" applyBorder="1" applyAlignment="1" applyProtection="1">
      <alignment horizontal="left" vertical="center" wrapText="1" indent="1"/>
    </xf>
    <xf numFmtId="0" fontId="6" fillId="0" borderId="16" xfId="0" applyFont="1" applyFill="1" applyBorder="1" applyAlignment="1" applyProtection="1">
      <alignment horizontal="left" vertical="center" wrapText="1" indent="1"/>
    </xf>
    <xf numFmtId="0" fontId="6" fillId="0" borderId="17" xfId="0" applyFont="1" applyFill="1" applyBorder="1" applyAlignment="1" applyProtection="1">
      <alignment horizontal="left" vertical="center" wrapText="1" indent="1"/>
    </xf>
    <xf numFmtId="0" fontId="6" fillId="0" borderId="18" xfId="0" applyFont="1" applyFill="1" applyBorder="1" applyAlignment="1" applyProtection="1">
      <alignment horizontal="left" vertical="center" wrapText="1" indent="1"/>
    </xf>
    <xf numFmtId="0" fontId="5" fillId="0" borderId="0" xfId="9" applyNumberFormat="1" applyBorder="1" applyAlignment="1" applyProtection="1">
      <alignment horizontal="left" vertical="center" wrapText="1"/>
    </xf>
    <xf numFmtId="0" fontId="6" fillId="10" borderId="0" xfId="0" applyFont="1" applyFill="1" applyBorder="1" applyAlignment="1" applyProtection="1">
      <alignment horizontal="left" vertical="center" wrapText="1"/>
    </xf>
    <xf numFmtId="0" fontId="21" fillId="0" borderId="59" xfId="0" applyFont="1" applyBorder="1" applyAlignment="1" applyProtection="1">
      <alignment horizontal="left"/>
    </xf>
    <xf numFmtId="0" fontId="21" fillId="0" borderId="60" xfId="0" applyFont="1" applyBorder="1" applyAlignment="1" applyProtection="1">
      <alignment horizontal="left"/>
    </xf>
    <xf numFmtId="0" fontId="21" fillId="0" borderId="61" xfId="0" applyFont="1" applyBorder="1" applyAlignment="1" applyProtection="1">
      <alignment horizontal="left"/>
    </xf>
    <xf numFmtId="0" fontId="63" fillId="23" borderId="11" xfId="0" applyFont="1" applyFill="1" applyBorder="1" applyAlignment="1" applyProtection="1">
      <alignment horizontal="center"/>
    </xf>
    <xf numFmtId="0" fontId="63" fillId="23" borderId="12" xfId="0" applyFont="1" applyFill="1" applyBorder="1" applyAlignment="1" applyProtection="1">
      <alignment horizontal="center"/>
    </xf>
    <xf numFmtId="0" fontId="63" fillId="23" borderId="13" xfId="0" applyFont="1" applyFill="1" applyBorder="1" applyAlignment="1" applyProtection="1">
      <alignment horizontal="center"/>
    </xf>
    <xf numFmtId="0" fontId="22" fillId="24" borderId="16" xfId="0" applyFont="1" applyFill="1" applyBorder="1" applyAlignment="1" applyProtection="1">
      <alignment horizontal="left" vertical="top" wrapText="1"/>
    </xf>
    <xf numFmtId="0" fontId="22" fillId="24" borderId="17" xfId="0" applyFont="1" applyFill="1" applyBorder="1" applyAlignment="1" applyProtection="1">
      <alignment horizontal="left" vertical="top" wrapText="1"/>
    </xf>
    <xf numFmtId="0" fontId="21" fillId="16" borderId="0" xfId="0" applyFont="1" applyFill="1" applyBorder="1" applyAlignment="1" applyProtection="1">
      <alignment horizontal="center"/>
    </xf>
    <xf numFmtId="0" fontId="3" fillId="0" borderId="70" xfId="0" applyFont="1" applyBorder="1" applyAlignment="1" applyProtection="1">
      <alignment horizontal="left" vertical="center" wrapText="1"/>
    </xf>
    <xf numFmtId="0" fontId="3" fillId="0" borderId="71" xfId="0" applyFont="1" applyBorder="1" applyAlignment="1" applyProtection="1">
      <alignment horizontal="left" vertical="center" wrapText="1"/>
    </xf>
    <xf numFmtId="0" fontId="3" fillId="0" borderId="72" xfId="0" applyFont="1" applyBorder="1" applyAlignment="1" applyProtection="1">
      <alignment horizontal="left" vertical="center" wrapText="1"/>
    </xf>
    <xf numFmtId="1" fontId="0" fillId="15" borderId="33" xfId="0" applyNumberFormat="1" applyFill="1" applyBorder="1" applyAlignment="1" applyProtection="1">
      <alignment horizontal="center"/>
    </xf>
    <xf numFmtId="1" fontId="0" fillId="15" borderId="68" xfId="0" applyNumberFormat="1" applyFill="1" applyBorder="1" applyAlignment="1" applyProtection="1">
      <alignment horizontal="center"/>
    </xf>
    <xf numFmtId="1" fontId="0" fillId="15" borderId="5" xfId="0" applyNumberFormat="1" applyFill="1" applyBorder="1" applyAlignment="1" applyProtection="1">
      <alignment horizontal="center"/>
    </xf>
    <xf numFmtId="0" fontId="11" fillId="26" borderId="70" xfId="0" applyFont="1" applyFill="1" applyBorder="1" applyAlignment="1" applyProtection="1">
      <alignment horizontal="center"/>
    </xf>
    <xf numFmtId="0" fontId="11" fillId="26" borderId="71" xfId="0" applyFont="1" applyFill="1" applyBorder="1" applyAlignment="1" applyProtection="1">
      <alignment horizontal="center"/>
    </xf>
    <xf numFmtId="0" fontId="11" fillId="26" borderId="66" xfId="0" applyFont="1" applyFill="1" applyBorder="1" applyAlignment="1" applyProtection="1">
      <alignment horizontal="center"/>
    </xf>
    <xf numFmtId="1" fontId="0" fillId="15" borderId="38" xfId="0" applyNumberFormat="1" applyFill="1" applyBorder="1" applyAlignment="1" applyProtection="1">
      <alignment horizontal="center"/>
    </xf>
    <xf numFmtId="0" fontId="11" fillId="34" borderId="70" xfId="0" applyFont="1" applyFill="1" applyBorder="1" applyAlignment="1" applyProtection="1">
      <alignment horizontal="center"/>
    </xf>
    <xf numFmtId="0" fontId="11" fillId="34" borderId="71" xfId="0" applyFont="1" applyFill="1" applyBorder="1" applyAlignment="1" applyProtection="1">
      <alignment horizontal="center"/>
    </xf>
    <xf numFmtId="0" fontId="11" fillId="34" borderId="66" xfId="0" applyFont="1" applyFill="1" applyBorder="1" applyAlignment="1" applyProtection="1">
      <alignment horizontal="center"/>
    </xf>
    <xf numFmtId="0" fontId="11" fillId="33" borderId="70" xfId="0" applyFont="1" applyFill="1" applyBorder="1" applyAlignment="1" applyProtection="1">
      <alignment horizontal="center"/>
    </xf>
    <xf numFmtId="0" fontId="11" fillId="33" borderId="71" xfId="0" applyFont="1" applyFill="1" applyBorder="1" applyAlignment="1" applyProtection="1">
      <alignment horizontal="center"/>
    </xf>
    <xf numFmtId="0" fontId="11" fillId="33" borderId="66" xfId="0" applyFont="1" applyFill="1" applyBorder="1" applyAlignment="1" applyProtection="1">
      <alignment horizontal="center"/>
    </xf>
    <xf numFmtId="0" fontId="3" fillId="3" borderId="59" xfId="0" applyFont="1" applyFill="1" applyBorder="1" applyAlignment="1" applyProtection="1">
      <alignment horizontal="center" wrapText="1"/>
    </xf>
    <xf numFmtId="0" fontId="3" fillId="3" borderId="60" xfId="0" applyFont="1" applyFill="1" applyBorder="1" applyAlignment="1" applyProtection="1">
      <alignment horizontal="center" wrapText="1"/>
    </xf>
    <xf numFmtId="0" fontId="3" fillId="3" borderId="61" xfId="0" applyFont="1" applyFill="1" applyBorder="1" applyAlignment="1" applyProtection="1">
      <alignment horizontal="center" wrapText="1"/>
    </xf>
    <xf numFmtId="0" fontId="59" fillId="0" borderId="33" xfId="0" applyFont="1" applyFill="1" applyBorder="1" applyAlignment="1" applyProtection="1">
      <alignment horizontal="left" vertical="center" wrapText="1"/>
    </xf>
    <xf numFmtId="0" fontId="3" fillId="10" borderId="0" xfId="0" applyFont="1" applyFill="1" applyBorder="1" applyAlignment="1" applyProtection="1">
      <alignment horizontal="left" vertical="center" wrapText="1"/>
    </xf>
    <xf numFmtId="0" fontId="3" fillId="0" borderId="42" xfId="0" applyFont="1" applyFill="1" applyBorder="1" applyAlignment="1" applyProtection="1">
      <alignment horizontal="left" vertical="center" wrapText="1"/>
    </xf>
    <xf numFmtId="0" fontId="3" fillId="0" borderId="39" xfId="0" applyFont="1" applyFill="1" applyBorder="1" applyAlignment="1" applyProtection="1">
      <alignment horizontal="left" vertical="center" wrapText="1"/>
    </xf>
    <xf numFmtId="0" fontId="3" fillId="0" borderId="26" xfId="0" applyFont="1" applyFill="1" applyBorder="1" applyAlignment="1" applyProtection="1">
      <alignment horizontal="left" vertical="center" wrapText="1"/>
    </xf>
    <xf numFmtId="0" fontId="3" fillId="0" borderId="42" xfId="0" applyFont="1" applyFill="1" applyBorder="1" applyAlignment="1" applyProtection="1">
      <alignment horizontal="center" vertical="center" wrapText="1"/>
      <protection locked="0"/>
    </xf>
    <xf numFmtId="0" fontId="3" fillId="0" borderId="26" xfId="0" applyFont="1" applyFill="1" applyBorder="1" applyAlignment="1" applyProtection="1">
      <alignment horizontal="center" vertical="center" wrapText="1"/>
      <protection locked="0"/>
    </xf>
    <xf numFmtId="0" fontId="3" fillId="11" borderId="0" xfId="0" applyFont="1" applyFill="1" applyBorder="1" applyAlignment="1" applyProtection="1">
      <alignment horizontal="left" vertical="center"/>
    </xf>
    <xf numFmtId="0" fontId="11" fillId="0" borderId="5" xfId="0" applyFont="1" applyFill="1" applyBorder="1" applyAlignment="1" applyProtection="1">
      <alignment horizontal="center"/>
    </xf>
    <xf numFmtId="0" fontId="15" fillId="2" borderId="59" xfId="0" applyFont="1" applyFill="1" applyBorder="1" applyAlignment="1" applyProtection="1">
      <alignment horizontal="center" vertical="center" wrapText="1"/>
      <protection locked="0"/>
    </xf>
    <xf numFmtId="0" fontId="15" fillId="2" borderId="60" xfId="0" applyFont="1" applyFill="1" applyBorder="1" applyAlignment="1" applyProtection="1">
      <alignment horizontal="center" vertical="center" wrapText="1"/>
      <protection locked="0"/>
    </xf>
    <xf numFmtId="0" fontId="15" fillId="2" borderId="61" xfId="0" applyFont="1" applyFill="1" applyBorder="1" applyAlignment="1" applyProtection="1">
      <alignment horizontal="center" vertical="center" wrapText="1"/>
      <protection locked="0"/>
    </xf>
    <xf numFmtId="0" fontId="34" fillId="11" borderId="0" xfId="0" applyFont="1" applyFill="1" applyBorder="1" applyAlignment="1" applyProtection="1">
      <alignment horizontal="center" vertical="center" wrapText="1"/>
    </xf>
    <xf numFmtId="0" fontId="11" fillId="0" borderId="5" xfId="0" applyFont="1" applyFill="1" applyBorder="1" applyAlignment="1" applyProtection="1">
      <alignment horizontal="center" wrapText="1"/>
    </xf>
    <xf numFmtId="0" fontId="11" fillId="0" borderId="36" xfId="0" applyFont="1" applyFill="1" applyBorder="1" applyAlignment="1" applyProtection="1">
      <alignment horizontal="center" wrapText="1"/>
    </xf>
    <xf numFmtId="0" fontId="11" fillId="0" borderId="6" xfId="0" applyFont="1" applyFill="1" applyBorder="1" applyAlignment="1" applyProtection="1">
      <alignment horizontal="center" wrapText="1"/>
    </xf>
    <xf numFmtId="0" fontId="35" fillId="3" borderId="71" xfId="0" applyFont="1" applyFill="1" applyBorder="1" applyAlignment="1" applyProtection="1">
      <alignment horizontal="center" vertical="center" wrapText="1"/>
    </xf>
    <xf numFmtId="0" fontId="15" fillId="0" borderId="0" xfId="0" applyFont="1" applyFill="1" applyBorder="1" applyAlignment="1" applyProtection="1">
      <alignment horizontal="center" vertical="center" wrapText="1"/>
    </xf>
    <xf numFmtId="0" fontId="3" fillId="2" borderId="42" xfId="0" applyFont="1" applyFill="1" applyBorder="1" applyAlignment="1" applyProtection="1">
      <alignment horizontal="center" wrapText="1"/>
    </xf>
    <xf numFmtId="0" fontId="3" fillId="2" borderId="39" xfId="0" applyFont="1" applyFill="1" applyBorder="1" applyAlignment="1" applyProtection="1">
      <alignment horizontal="center" wrapText="1"/>
    </xf>
    <xf numFmtId="0" fontId="46" fillId="0" borderId="0" xfId="9" applyFont="1" applyFill="1" applyBorder="1" applyAlignment="1" applyProtection="1">
      <alignment horizontal="center" vertical="center" wrapText="1"/>
    </xf>
    <xf numFmtId="0" fontId="46" fillId="0" borderId="15" xfId="9" applyFont="1" applyFill="1" applyBorder="1" applyAlignment="1" applyProtection="1">
      <alignment horizontal="center" vertical="center" wrapText="1"/>
    </xf>
    <xf numFmtId="0" fontId="15" fillId="29" borderId="0" xfId="0" applyFont="1" applyFill="1" applyBorder="1" applyAlignment="1" applyProtection="1">
      <alignment horizontal="left" wrapText="1"/>
    </xf>
    <xf numFmtId="0" fontId="15" fillId="3" borderId="42" xfId="0" applyFont="1" applyFill="1" applyBorder="1" applyAlignment="1" applyProtection="1">
      <alignment horizontal="right" wrapText="1"/>
    </xf>
    <xf numFmtId="0" fontId="15" fillId="3" borderId="39" xfId="0" applyFont="1" applyFill="1" applyBorder="1" applyAlignment="1" applyProtection="1">
      <alignment horizontal="right" wrapText="1"/>
    </xf>
    <xf numFmtId="0" fontId="15" fillId="3" borderId="26" xfId="0" applyFont="1" applyFill="1" applyBorder="1" applyAlignment="1" applyProtection="1">
      <alignment horizontal="right" wrapText="1"/>
    </xf>
    <xf numFmtId="0" fontId="3" fillId="2" borderId="11" xfId="0" applyFont="1" applyFill="1" applyBorder="1" applyAlignment="1" applyProtection="1">
      <alignment horizontal="center"/>
    </xf>
    <xf numFmtId="0" fontId="3" fillId="2" borderId="12" xfId="0" applyFont="1" applyFill="1" applyBorder="1" applyAlignment="1" applyProtection="1">
      <alignment horizontal="center"/>
    </xf>
    <xf numFmtId="0" fontId="3" fillId="2" borderId="13" xfId="0" applyFont="1" applyFill="1" applyBorder="1" applyAlignment="1" applyProtection="1">
      <alignment horizontal="center"/>
    </xf>
    <xf numFmtId="0" fontId="3" fillId="2" borderId="24" xfId="0" applyFont="1" applyFill="1" applyBorder="1" applyAlignment="1" applyProtection="1">
      <alignment horizontal="center"/>
    </xf>
    <xf numFmtId="0" fontId="3" fillId="2" borderId="25" xfId="0" applyFont="1" applyFill="1" applyBorder="1" applyAlignment="1" applyProtection="1">
      <alignment horizontal="center"/>
    </xf>
    <xf numFmtId="0" fontId="3" fillId="2" borderId="65" xfId="0" applyFont="1" applyFill="1" applyBorder="1" applyAlignment="1" applyProtection="1">
      <alignment horizontal="center" wrapText="1"/>
    </xf>
    <xf numFmtId="0" fontId="3" fillId="2" borderId="78" xfId="0" applyFont="1" applyFill="1" applyBorder="1" applyAlignment="1" applyProtection="1">
      <alignment horizontal="center" wrapText="1"/>
    </xf>
    <xf numFmtId="0" fontId="3" fillId="2" borderId="79" xfId="0" applyFont="1" applyFill="1" applyBorder="1" applyAlignment="1" applyProtection="1">
      <alignment horizontal="center" wrapText="1"/>
    </xf>
    <xf numFmtId="0" fontId="33" fillId="0" borderId="0" xfId="0" applyFont="1" applyFill="1" applyBorder="1" applyAlignment="1" applyProtection="1">
      <alignment horizontal="center" vertical="center" wrapText="1"/>
    </xf>
    <xf numFmtId="0" fontId="11" fillId="3" borderId="42" xfId="0" applyFont="1" applyFill="1" applyBorder="1" applyAlignment="1">
      <alignment horizontal="right" vertical="center" wrapText="1"/>
    </xf>
    <xf numFmtId="0" fontId="11" fillId="3" borderId="39" xfId="0" applyFont="1" applyFill="1" applyBorder="1" applyAlignment="1">
      <alignment horizontal="right" vertical="center" wrapText="1"/>
    </xf>
    <xf numFmtId="0" fontId="11" fillId="3" borderId="26" xfId="0" applyFont="1" applyFill="1" applyBorder="1" applyAlignment="1">
      <alignment horizontal="right" vertical="center" wrapText="1"/>
    </xf>
    <xf numFmtId="0" fontId="11" fillId="3" borderId="16" xfId="0" applyFont="1" applyFill="1" applyBorder="1" applyAlignment="1">
      <alignment horizontal="right" vertical="center" wrapText="1"/>
    </xf>
    <xf numFmtId="0" fontId="11" fillId="3" borderId="17" xfId="0" applyFont="1" applyFill="1" applyBorder="1" applyAlignment="1">
      <alignment horizontal="right" vertical="center" wrapText="1"/>
    </xf>
    <xf numFmtId="0" fontId="11" fillId="3" borderId="18" xfId="0" applyFont="1" applyFill="1" applyBorder="1" applyAlignment="1">
      <alignment horizontal="right" vertical="center" wrapText="1"/>
    </xf>
    <xf numFmtId="0" fontId="11" fillId="2" borderId="21" xfId="0" applyFont="1" applyFill="1" applyBorder="1" applyAlignment="1" applyProtection="1">
      <alignment horizontal="center" vertical="center" wrapText="1"/>
    </xf>
    <xf numFmtId="0" fontId="11" fillId="2" borderId="22" xfId="0" applyFont="1" applyFill="1" applyBorder="1" applyAlignment="1" applyProtection="1">
      <alignment horizontal="center" vertical="center" wrapText="1"/>
    </xf>
    <xf numFmtId="0" fontId="11" fillId="2" borderId="62" xfId="0" applyFont="1" applyFill="1" applyBorder="1" applyAlignment="1" applyProtection="1">
      <alignment horizontal="center" vertical="center" wrapText="1"/>
    </xf>
    <xf numFmtId="0" fontId="11" fillId="2" borderId="42" xfId="0" applyFont="1" applyFill="1" applyBorder="1" applyAlignment="1" applyProtection="1">
      <alignment horizontal="center" vertical="center" wrapText="1"/>
    </xf>
    <xf numFmtId="0" fontId="11" fillId="2" borderId="26" xfId="0" applyFont="1" applyFill="1" applyBorder="1" applyAlignment="1" applyProtection="1">
      <alignment horizontal="center" vertical="center" wrapText="1"/>
    </xf>
    <xf numFmtId="0" fontId="11" fillId="2" borderId="59" xfId="0" applyFont="1" applyFill="1" applyBorder="1" applyAlignment="1" applyProtection="1">
      <alignment horizontal="center" vertical="center" wrapText="1"/>
    </xf>
    <xf numFmtId="0" fontId="11" fillId="2" borderId="60" xfId="0" applyFont="1" applyFill="1" applyBorder="1" applyAlignment="1" applyProtection="1">
      <alignment horizontal="center" vertical="center" wrapText="1"/>
    </xf>
    <xf numFmtId="0" fontId="11" fillId="2" borderId="61" xfId="0" applyFont="1" applyFill="1" applyBorder="1" applyAlignment="1" applyProtection="1">
      <alignment horizontal="center" vertical="center" wrapText="1"/>
    </xf>
    <xf numFmtId="0" fontId="33" fillId="2" borderId="42" xfId="0" applyFont="1" applyFill="1" applyBorder="1" applyAlignment="1" applyProtection="1">
      <alignment horizontal="center" vertical="center" wrapText="1"/>
    </xf>
    <xf numFmtId="0" fontId="33" fillId="2" borderId="39" xfId="0" applyFont="1" applyFill="1" applyBorder="1" applyAlignment="1" applyProtection="1">
      <alignment horizontal="center" vertical="center" wrapText="1"/>
    </xf>
    <xf numFmtId="0" fontId="37" fillId="0" borderId="17" xfId="9" applyFont="1" applyFill="1" applyBorder="1" applyAlignment="1" applyProtection="1">
      <alignment horizontal="center" vertical="center" wrapText="1"/>
    </xf>
    <xf numFmtId="0" fontId="11" fillId="2" borderId="42" xfId="0" applyFont="1" applyFill="1" applyBorder="1" applyAlignment="1" applyProtection="1">
      <alignment horizontal="center" vertical="center"/>
    </xf>
    <xf numFmtId="0" fontId="11" fillId="2" borderId="39" xfId="0" applyFont="1" applyFill="1" applyBorder="1" applyAlignment="1" applyProtection="1">
      <alignment horizontal="center" vertical="center"/>
    </xf>
    <xf numFmtId="0" fontId="3" fillId="21" borderId="70" xfId="0" applyFont="1" applyFill="1" applyBorder="1" applyAlignment="1" applyProtection="1">
      <alignment horizontal="center" vertical="center"/>
    </xf>
    <xf numFmtId="0" fontId="3" fillId="21" borderId="72" xfId="0" applyFont="1" applyFill="1" applyBorder="1" applyAlignment="1" applyProtection="1">
      <alignment horizontal="center" vertical="center"/>
    </xf>
    <xf numFmtId="0" fontId="3" fillId="21" borderId="70" xfId="0" applyFont="1" applyFill="1" applyBorder="1" applyAlignment="1" applyProtection="1">
      <alignment horizontal="center" vertical="center" wrapText="1"/>
    </xf>
    <xf numFmtId="0" fontId="3" fillId="21" borderId="71" xfId="0" applyFont="1" applyFill="1" applyBorder="1" applyAlignment="1" applyProtection="1">
      <alignment horizontal="center" vertical="center" wrapText="1"/>
    </xf>
    <xf numFmtId="0" fontId="3" fillId="21" borderId="72" xfId="0" applyFont="1" applyFill="1" applyBorder="1" applyAlignment="1" applyProtection="1">
      <alignment horizontal="center" vertical="center" wrapText="1"/>
    </xf>
    <xf numFmtId="0" fontId="3" fillId="21" borderId="19" xfId="0" applyFont="1" applyFill="1" applyBorder="1" applyAlignment="1" applyProtection="1">
      <alignment horizontal="center" vertical="center" wrapText="1"/>
    </xf>
    <xf numFmtId="0" fontId="3" fillId="21" borderId="19" xfId="0" applyFont="1" applyFill="1" applyBorder="1" applyAlignment="1" applyProtection="1">
      <alignment horizontal="center" vertical="center"/>
    </xf>
    <xf numFmtId="0" fontId="11" fillId="0" borderId="0" xfId="0" applyFont="1" applyBorder="1" applyAlignment="1">
      <alignment horizontal="left" wrapText="1"/>
    </xf>
    <xf numFmtId="0" fontId="11" fillId="11" borderId="0" xfId="0" applyFont="1" applyFill="1" applyAlignment="1">
      <alignment horizontal="left" vertical="center"/>
    </xf>
    <xf numFmtId="0" fontId="12" fillId="27" borderId="70" xfId="0" applyFont="1" applyFill="1" applyBorder="1" applyAlignment="1" applyProtection="1">
      <alignment horizontal="left" vertical="top" wrapText="1"/>
      <protection locked="0"/>
    </xf>
    <xf numFmtId="0" fontId="6" fillId="27" borderId="71" xfId="0" applyFont="1" applyFill="1" applyBorder="1" applyAlignment="1" applyProtection="1">
      <alignment horizontal="left" vertical="top" wrapText="1"/>
      <protection locked="0"/>
    </xf>
    <xf numFmtId="0" fontId="6" fillId="27" borderId="72" xfId="0" applyFont="1" applyFill="1" applyBorder="1" applyAlignment="1" applyProtection="1">
      <alignment horizontal="left" vertical="top" wrapText="1"/>
      <protection locked="0"/>
    </xf>
    <xf numFmtId="0" fontId="61" fillId="0" borderId="17" xfId="9" applyFont="1" applyBorder="1" applyAlignment="1" applyProtection="1">
      <alignment horizontal="left" vertical="center"/>
    </xf>
    <xf numFmtId="0" fontId="12" fillId="0" borderId="0" xfId="0" applyFont="1" applyFill="1" applyBorder="1" applyAlignment="1" applyProtection="1">
      <alignment horizontal="left" vertical="top" wrapText="1"/>
      <protection locked="0"/>
    </xf>
    <xf numFmtId="0" fontId="6" fillId="0" borderId="0" xfId="0" applyFont="1" applyFill="1" applyBorder="1" applyAlignment="1" applyProtection="1">
      <alignment horizontal="left" vertical="top" wrapText="1"/>
      <protection locked="0"/>
    </xf>
    <xf numFmtId="0" fontId="11" fillId="0" borderId="0" xfId="0" applyFont="1" applyBorder="1" applyAlignment="1">
      <alignment horizontal="left" vertical="top" wrapText="1"/>
    </xf>
    <xf numFmtId="0" fontId="6" fillId="11" borderId="0" xfId="0" applyFont="1" applyFill="1" applyAlignment="1">
      <alignment horizontal="left" vertical="center"/>
    </xf>
    <xf numFmtId="0" fontId="11" fillId="11" borderId="0" xfId="0" applyFont="1" applyFill="1" applyAlignment="1">
      <alignment horizontal="left" vertical="center" wrapText="1"/>
    </xf>
    <xf numFmtId="0" fontId="11" fillId="0" borderId="0" xfId="0" applyFont="1" applyBorder="1" applyAlignment="1">
      <alignment horizontal="left" vertical="center"/>
    </xf>
    <xf numFmtId="0" fontId="6" fillId="10" borderId="0" xfId="0" applyFont="1" applyFill="1" applyBorder="1" applyAlignment="1">
      <alignment horizontal="left" vertical="center" wrapText="1"/>
    </xf>
    <xf numFmtId="0" fontId="0" fillId="10" borderId="0" xfId="0" applyFill="1" applyBorder="1" applyAlignment="1">
      <alignment horizontal="left" vertical="center" wrapText="1"/>
    </xf>
    <xf numFmtId="0" fontId="65" fillId="11" borderId="0" xfId="0" applyFont="1" applyFill="1" applyAlignment="1">
      <alignment horizontal="left" vertical="center" wrapText="1"/>
    </xf>
    <xf numFmtId="0" fontId="76" fillId="15" borderId="70" xfId="0" applyFont="1" applyFill="1" applyBorder="1" applyAlignment="1">
      <alignment horizontal="center" vertical="center" wrapText="1"/>
    </xf>
    <xf numFmtId="0" fontId="76" fillId="15" borderId="71" xfId="0" applyFont="1" applyFill="1" applyBorder="1" applyAlignment="1">
      <alignment horizontal="center" vertical="center" wrapText="1"/>
    </xf>
    <xf numFmtId="0" fontId="76" fillId="15" borderId="72" xfId="0" applyFont="1" applyFill="1" applyBorder="1" applyAlignment="1">
      <alignment horizontal="center" vertical="center" wrapText="1"/>
    </xf>
    <xf numFmtId="0" fontId="63" fillId="0" borderId="73" xfId="0" applyFont="1" applyBorder="1" applyAlignment="1">
      <alignment horizontal="left" vertical="center" wrapText="1"/>
    </xf>
    <xf numFmtId="0" fontId="22" fillId="0" borderId="74" xfId="0" applyFont="1" applyBorder="1" applyAlignment="1">
      <alignment horizontal="left" vertical="center" wrapText="1"/>
    </xf>
    <xf numFmtId="0" fontId="64" fillId="29" borderId="11" xfId="0" applyFont="1" applyFill="1" applyBorder="1" applyAlignment="1">
      <alignment horizontal="center" vertical="center" wrapText="1"/>
    </xf>
    <xf numFmtId="0" fontId="64" fillId="29" borderId="12" xfId="0" applyFont="1" applyFill="1" applyBorder="1" applyAlignment="1">
      <alignment horizontal="center" vertical="center" wrapText="1"/>
    </xf>
    <xf numFmtId="0" fontId="64" fillId="29" borderId="13" xfId="0" applyFont="1" applyFill="1" applyBorder="1" applyAlignment="1">
      <alignment horizontal="center" vertical="center" wrapText="1"/>
    </xf>
    <xf numFmtId="0" fontId="64" fillId="29" borderId="14" xfId="0" applyFont="1" applyFill="1" applyBorder="1" applyAlignment="1">
      <alignment horizontal="center" vertical="center" wrapText="1"/>
    </xf>
    <xf numFmtId="0" fontId="64" fillId="29" borderId="0" xfId="0" applyFont="1" applyFill="1" applyBorder="1" applyAlignment="1">
      <alignment horizontal="center" vertical="center" wrapText="1"/>
    </xf>
    <xf numFmtId="0" fontId="64" fillId="29" borderId="15" xfId="0" applyFont="1" applyFill="1" applyBorder="1" applyAlignment="1">
      <alignment horizontal="center" vertical="center" wrapText="1"/>
    </xf>
    <xf numFmtId="0" fontId="15" fillId="15" borderId="30" xfId="0" applyFont="1" applyFill="1" applyBorder="1" applyAlignment="1" applyProtection="1">
      <alignment horizontal="center" wrapText="1"/>
      <protection locked="0"/>
    </xf>
    <xf numFmtId="0" fontId="15" fillId="15" borderId="19" xfId="0" applyFont="1" applyFill="1" applyBorder="1" applyAlignment="1" applyProtection="1">
      <alignment horizontal="center" wrapText="1"/>
      <protection locked="0"/>
    </xf>
    <xf numFmtId="0" fontId="64" fillId="32" borderId="59" xfId="0" applyFont="1" applyFill="1" applyBorder="1" applyAlignment="1">
      <alignment horizontal="center" vertical="center"/>
    </xf>
    <xf numFmtId="0" fontId="64" fillId="32" borderId="60" xfId="0" applyFont="1" applyFill="1" applyBorder="1" applyAlignment="1">
      <alignment horizontal="center" vertical="center"/>
    </xf>
    <xf numFmtId="0" fontId="64" fillId="32" borderId="12" xfId="0" applyFont="1" applyFill="1" applyBorder="1" applyAlignment="1">
      <alignment horizontal="center" vertical="center"/>
    </xf>
    <xf numFmtId="0" fontId="64" fillId="32" borderId="61" xfId="0" applyFont="1" applyFill="1" applyBorder="1" applyAlignment="1">
      <alignment horizontal="center" vertical="center"/>
    </xf>
    <xf numFmtId="0" fontId="15" fillId="15" borderId="70" xfId="0" applyFont="1" applyFill="1" applyBorder="1" applyAlignment="1" applyProtection="1">
      <alignment horizontal="center" wrapText="1"/>
      <protection locked="0"/>
    </xf>
    <xf numFmtId="0" fontId="15" fillId="39" borderId="70" xfId="0" applyFont="1" applyFill="1" applyBorder="1" applyAlignment="1" applyProtection="1">
      <alignment horizontal="center" wrapText="1"/>
    </xf>
    <xf numFmtId="0" fontId="15" fillId="39" borderId="72" xfId="0" applyFont="1" applyFill="1" applyBorder="1" applyAlignment="1" applyProtection="1">
      <alignment horizontal="center" wrapText="1"/>
    </xf>
    <xf numFmtId="0" fontId="21" fillId="32" borderId="59" xfId="0" applyFont="1" applyFill="1" applyBorder="1" applyAlignment="1" applyProtection="1">
      <alignment horizontal="center" vertical="center"/>
    </xf>
    <xf numFmtId="0" fontId="21" fillId="32" borderId="60" xfId="0" applyFont="1" applyFill="1" applyBorder="1" applyAlignment="1" applyProtection="1">
      <alignment horizontal="center" vertical="center"/>
    </xf>
    <xf numFmtId="0" fontId="21" fillId="32" borderId="12" xfId="0" applyFont="1" applyFill="1" applyBorder="1" applyAlignment="1" applyProtection="1">
      <alignment horizontal="center" vertical="center"/>
    </xf>
    <xf numFmtId="0" fontId="21" fillId="32" borderId="61" xfId="0" applyFont="1" applyFill="1" applyBorder="1" applyAlignment="1" applyProtection="1">
      <alignment horizontal="center" vertical="center"/>
    </xf>
    <xf numFmtId="0" fontId="11" fillId="15" borderId="30" xfId="0" applyFont="1" applyFill="1" applyBorder="1" applyAlignment="1" applyProtection="1">
      <alignment horizontal="center" wrapText="1"/>
    </xf>
    <xf numFmtId="0" fontId="11" fillId="15" borderId="19" xfId="0" applyFont="1" applyFill="1" applyBorder="1" applyAlignment="1" applyProtection="1">
      <alignment horizontal="center" wrapText="1"/>
    </xf>
    <xf numFmtId="0" fontId="21" fillId="29" borderId="11" xfId="0" applyFont="1" applyFill="1" applyBorder="1" applyAlignment="1" applyProtection="1">
      <alignment horizontal="center" vertical="center" wrapText="1"/>
    </xf>
    <xf numFmtId="0" fontId="21" fillId="29" borderId="12" xfId="0" applyFont="1" applyFill="1" applyBorder="1" applyAlignment="1" applyProtection="1">
      <alignment horizontal="center" vertical="center" wrapText="1"/>
    </xf>
    <xf numFmtId="0" fontId="21" fillId="29" borderId="13" xfId="0" applyFont="1" applyFill="1" applyBorder="1" applyAlignment="1" applyProtection="1">
      <alignment horizontal="center" vertical="center" wrapText="1"/>
    </xf>
    <xf numFmtId="0" fontId="21" fillId="29" borderId="14" xfId="0" applyFont="1" applyFill="1" applyBorder="1" applyAlignment="1" applyProtection="1">
      <alignment horizontal="center" vertical="center" wrapText="1"/>
    </xf>
    <xf numFmtId="0" fontId="21" fillId="29" borderId="0" xfId="0" applyFont="1" applyFill="1" applyBorder="1" applyAlignment="1" applyProtection="1">
      <alignment horizontal="center" vertical="center" wrapText="1"/>
    </xf>
    <xf numFmtId="0" fontId="21" fillId="29" borderId="15" xfId="0" applyFont="1" applyFill="1" applyBorder="1" applyAlignment="1" applyProtection="1">
      <alignment horizontal="center" vertical="center" wrapText="1"/>
    </xf>
    <xf numFmtId="0" fontId="11" fillId="15" borderId="70" xfId="0" applyFont="1" applyFill="1" applyBorder="1" applyAlignment="1" applyProtection="1">
      <alignment horizontal="center" wrapText="1"/>
    </xf>
    <xf numFmtId="0" fontId="64" fillId="15" borderId="70" xfId="0" applyFont="1" applyFill="1" applyBorder="1" applyAlignment="1" applyProtection="1">
      <alignment horizontal="center" vertical="center" wrapText="1"/>
    </xf>
    <xf numFmtId="0" fontId="64" fillId="15" borderId="71" xfId="0" applyFont="1" applyFill="1" applyBorder="1" applyAlignment="1" applyProtection="1">
      <alignment horizontal="center" vertical="center" wrapText="1"/>
    </xf>
    <xf numFmtId="0" fontId="64" fillId="15" borderId="72" xfId="0" applyFont="1" applyFill="1" applyBorder="1" applyAlignment="1" applyProtection="1">
      <alignment horizontal="center" vertical="center" wrapText="1"/>
    </xf>
    <xf numFmtId="0" fontId="15" fillId="0" borderId="73" xfId="0" applyFont="1" applyBorder="1" applyAlignment="1" applyProtection="1">
      <alignment horizontal="left" vertical="center" wrapText="1"/>
    </xf>
    <xf numFmtId="0" fontId="60" fillId="0" borderId="74" xfId="0" applyFont="1" applyBorder="1" applyAlignment="1" applyProtection="1">
      <alignment horizontal="left" vertical="center" wrapText="1"/>
    </xf>
    <xf numFmtId="0" fontId="12" fillId="16" borderId="57" xfId="0" applyFont="1" applyFill="1" applyBorder="1" applyAlignment="1" applyProtection="1">
      <alignment horizontal="center" vertical="top" wrapText="1"/>
    </xf>
    <xf numFmtId="0" fontId="10" fillId="15" borderId="73" xfId="0" applyFont="1" applyFill="1" applyBorder="1" applyAlignment="1" applyProtection="1">
      <alignment horizontal="center" vertical="center" wrapText="1"/>
    </xf>
    <xf numFmtId="0" fontId="12" fillId="15" borderId="74" xfId="0" applyFont="1" applyFill="1" applyBorder="1" applyAlignment="1" applyProtection="1">
      <alignment horizontal="center" vertical="center" wrapText="1"/>
    </xf>
    <xf numFmtId="0" fontId="12" fillId="15" borderId="75" xfId="0" applyFont="1" applyFill="1" applyBorder="1" applyAlignment="1" applyProtection="1">
      <alignment horizontal="center" vertical="center" wrapText="1"/>
    </xf>
    <xf numFmtId="0" fontId="63" fillId="29" borderId="49" xfId="0" applyFont="1" applyFill="1" applyBorder="1" applyAlignment="1" applyProtection="1">
      <alignment horizontal="center"/>
    </xf>
    <xf numFmtId="0" fontId="63" fillId="29" borderId="2" xfId="0" applyFont="1" applyFill="1" applyBorder="1" applyAlignment="1" applyProtection="1">
      <alignment horizontal="center"/>
    </xf>
    <xf numFmtId="0" fontId="63" fillId="29" borderId="47" xfId="0" applyFont="1" applyFill="1" applyBorder="1" applyAlignment="1" applyProtection="1">
      <alignment horizontal="center"/>
    </xf>
    <xf numFmtId="0" fontId="10" fillId="16" borderId="0" xfId="0" applyFont="1" applyFill="1" applyBorder="1" applyAlignment="1" applyProtection="1">
      <alignment horizontal="left" vertical="top" wrapText="1"/>
    </xf>
    <xf numFmtId="0" fontId="10" fillId="0" borderId="0" xfId="0" applyFont="1" applyBorder="1" applyAlignment="1">
      <alignment horizontal="left" wrapText="1"/>
    </xf>
    <xf numFmtId="0" fontId="2" fillId="0" borderId="0" xfId="0" applyFont="1" applyBorder="1" applyAlignment="1">
      <alignment horizontal="left" vertical="top" wrapText="1"/>
    </xf>
    <xf numFmtId="0" fontId="6" fillId="13" borderId="70" xfId="0" applyFont="1" applyFill="1" applyBorder="1" applyAlignment="1" applyProtection="1">
      <alignment horizontal="left" vertical="top" wrapText="1"/>
      <protection locked="0"/>
    </xf>
    <xf numFmtId="0" fontId="6" fillId="13" borderId="71" xfId="0" applyFont="1" applyFill="1" applyBorder="1" applyAlignment="1" applyProtection="1">
      <alignment horizontal="left" vertical="top" wrapText="1"/>
      <protection locked="0"/>
    </xf>
    <xf numFmtId="0" fontId="6" fillId="13" borderId="72" xfId="0" applyFont="1" applyFill="1" applyBorder="1" applyAlignment="1" applyProtection="1">
      <alignment horizontal="left" vertical="top" wrapText="1"/>
      <protection locked="0"/>
    </xf>
    <xf numFmtId="0" fontId="6" fillId="0" borderId="0" xfId="0" applyFont="1" applyBorder="1" applyAlignment="1">
      <alignment horizontal="left" vertical="center" wrapText="1"/>
    </xf>
    <xf numFmtId="0" fontId="14" fillId="13" borderId="11" xfId="0" applyFont="1" applyFill="1" applyBorder="1" applyAlignment="1" applyProtection="1">
      <alignment horizontal="left" wrapText="1"/>
      <protection locked="0"/>
    </xf>
    <xf numFmtId="0" fontId="14" fillId="13" borderId="12" xfId="0" applyFont="1" applyFill="1" applyBorder="1" applyAlignment="1" applyProtection="1">
      <alignment horizontal="left" wrapText="1"/>
      <protection locked="0"/>
    </xf>
    <xf numFmtId="0" fontId="14" fillId="13" borderId="13" xfId="0" applyFont="1" applyFill="1" applyBorder="1" applyAlignment="1" applyProtection="1">
      <alignment horizontal="left" wrapText="1"/>
      <protection locked="0"/>
    </xf>
    <xf numFmtId="0" fontId="14" fillId="13" borderId="14" xfId="0" applyFont="1" applyFill="1" applyBorder="1" applyAlignment="1" applyProtection="1">
      <alignment horizontal="left" wrapText="1"/>
      <protection locked="0"/>
    </xf>
    <xf numFmtId="0" fontId="14" fillId="13" borderId="0" xfId="0" applyFont="1" applyFill="1" applyBorder="1" applyAlignment="1" applyProtection="1">
      <alignment horizontal="left" wrapText="1"/>
      <protection locked="0"/>
    </xf>
    <xf numFmtId="0" fontId="14" fillId="13" borderId="15" xfId="0" applyFont="1" applyFill="1" applyBorder="1" applyAlignment="1" applyProtection="1">
      <alignment horizontal="left" wrapText="1"/>
      <protection locked="0"/>
    </xf>
    <xf numFmtId="0" fontId="14" fillId="13" borderId="16" xfId="0" applyFont="1" applyFill="1" applyBorder="1" applyAlignment="1" applyProtection="1">
      <alignment horizontal="left" wrapText="1"/>
      <protection locked="0"/>
    </xf>
    <xf numFmtId="0" fontId="14" fillId="13" borderId="17" xfId="0" applyFont="1" applyFill="1" applyBorder="1" applyAlignment="1" applyProtection="1">
      <alignment horizontal="left" wrapText="1"/>
      <protection locked="0"/>
    </xf>
    <xf numFmtId="0" fontId="14" fillId="13" borderId="18" xfId="0" applyFont="1" applyFill="1" applyBorder="1" applyAlignment="1" applyProtection="1">
      <alignment horizontal="left" wrapText="1"/>
      <protection locked="0"/>
    </xf>
    <xf numFmtId="0" fontId="14" fillId="13" borderId="11" xfId="0" applyFont="1" applyFill="1" applyBorder="1" applyAlignment="1" applyProtection="1">
      <alignment horizontal="left" vertical="top" wrapText="1"/>
      <protection locked="0"/>
    </xf>
    <xf numFmtId="0" fontId="14" fillId="13" borderId="12" xfId="0" applyFont="1" applyFill="1" applyBorder="1" applyAlignment="1" applyProtection="1">
      <alignment horizontal="left" vertical="top" wrapText="1"/>
      <protection locked="0"/>
    </xf>
    <xf numFmtId="0" fontId="14" fillId="13" borderId="13" xfId="0" applyFont="1" applyFill="1" applyBorder="1" applyAlignment="1" applyProtection="1">
      <alignment horizontal="left" vertical="top" wrapText="1"/>
      <protection locked="0"/>
    </xf>
    <xf numFmtId="0" fontId="14" fillId="13" borderId="14" xfId="0" applyFont="1" applyFill="1" applyBorder="1" applyAlignment="1" applyProtection="1">
      <alignment horizontal="left" vertical="top" wrapText="1"/>
      <protection locked="0"/>
    </xf>
    <xf numFmtId="0" fontId="14" fillId="13" borderId="0" xfId="0" applyFont="1" applyFill="1" applyBorder="1" applyAlignment="1" applyProtection="1">
      <alignment horizontal="left" vertical="top" wrapText="1"/>
      <protection locked="0"/>
    </xf>
    <xf numFmtId="0" fontId="14" fillId="13" borderId="15" xfId="0" applyFont="1" applyFill="1" applyBorder="1" applyAlignment="1" applyProtection="1">
      <alignment horizontal="left" vertical="top" wrapText="1"/>
      <protection locked="0"/>
    </xf>
    <xf numFmtId="0" fontId="14" fillId="13" borderId="16" xfId="0" applyFont="1" applyFill="1" applyBorder="1" applyAlignment="1" applyProtection="1">
      <alignment horizontal="left" vertical="top" wrapText="1"/>
      <protection locked="0"/>
    </xf>
    <xf numFmtId="0" fontId="14" fillId="13" borderId="17" xfId="0" applyFont="1" applyFill="1" applyBorder="1" applyAlignment="1" applyProtection="1">
      <alignment horizontal="left" vertical="top" wrapText="1"/>
      <protection locked="0"/>
    </xf>
    <xf numFmtId="0" fontId="14" fillId="13" borderId="18" xfId="0" applyFont="1" applyFill="1" applyBorder="1" applyAlignment="1" applyProtection="1">
      <alignment horizontal="left" vertical="top" wrapText="1"/>
      <protection locked="0"/>
    </xf>
    <xf numFmtId="0" fontId="6" fillId="0" borderId="0" xfId="0" applyFont="1" applyFill="1" applyBorder="1" applyAlignment="1">
      <alignment vertical="center" wrapText="1"/>
    </xf>
    <xf numFmtId="0" fontId="0" fillId="0" borderId="19" xfId="0" applyBorder="1" applyAlignment="1" applyProtection="1">
      <alignment horizontal="center"/>
    </xf>
    <xf numFmtId="0" fontId="32" fillId="0" borderId="19" xfId="0" applyFont="1" applyFill="1" applyBorder="1" applyAlignment="1" applyProtection="1">
      <alignment horizontal="center"/>
    </xf>
    <xf numFmtId="0" fontId="25" fillId="12" borderId="70" xfId="0" applyFont="1" applyFill="1" applyBorder="1" applyAlignment="1" applyProtection="1">
      <alignment horizontal="center" vertical="center"/>
    </xf>
    <xf numFmtId="0" fontId="25" fillId="12" borderId="72" xfId="0" applyFont="1" applyFill="1" applyBorder="1" applyAlignment="1" applyProtection="1">
      <alignment horizontal="center" vertical="center"/>
    </xf>
    <xf numFmtId="0" fontId="0" fillId="0" borderId="19" xfId="0" applyBorder="1" applyAlignment="1" applyProtection="1">
      <alignment horizontal="left"/>
    </xf>
    <xf numFmtId="0" fontId="0" fillId="6" borderId="19" xfId="0" applyFill="1" applyBorder="1" applyAlignment="1" applyProtection="1">
      <alignment horizontal="center"/>
    </xf>
    <xf numFmtId="0" fontId="30" fillId="8" borderId="19" xfId="0" applyFont="1" applyFill="1" applyBorder="1" applyAlignment="1" applyProtection="1">
      <alignment horizontal="center"/>
    </xf>
    <xf numFmtId="0" fontId="25" fillId="9" borderId="19" xfId="0" applyFont="1" applyFill="1" applyBorder="1" applyAlignment="1" applyProtection="1">
      <alignment horizontal="center" vertical="center"/>
    </xf>
    <xf numFmtId="0" fontId="30" fillId="12" borderId="19" xfId="0" applyFont="1" applyFill="1" applyBorder="1" applyAlignment="1" applyProtection="1">
      <alignment horizontal="center"/>
    </xf>
    <xf numFmtId="0" fontId="25" fillId="12" borderId="19" xfId="0" applyFont="1" applyFill="1" applyBorder="1" applyAlignment="1" applyProtection="1">
      <alignment horizontal="center" vertical="center"/>
    </xf>
    <xf numFmtId="0" fontId="31" fillId="0" borderId="73" xfId="0" applyFont="1" applyBorder="1" applyAlignment="1" applyProtection="1">
      <alignment horizontal="center" vertical="center" wrapText="1"/>
    </xf>
    <xf numFmtId="0" fontId="31" fillId="0" borderId="75" xfId="0" applyFont="1" applyBorder="1" applyAlignment="1" applyProtection="1">
      <alignment horizontal="center" vertical="center" wrapText="1"/>
    </xf>
    <xf numFmtId="0" fontId="31" fillId="0" borderId="63" xfId="0" applyFont="1" applyBorder="1" applyAlignment="1" applyProtection="1">
      <alignment horizontal="center" vertical="center" wrapText="1"/>
    </xf>
    <xf numFmtId="0" fontId="31" fillId="0" borderId="64" xfId="0" applyFont="1" applyBorder="1" applyAlignment="1" applyProtection="1">
      <alignment horizontal="center" vertical="center" wrapText="1"/>
    </xf>
    <xf numFmtId="0" fontId="31" fillId="0" borderId="49" xfId="0" applyFont="1" applyBorder="1" applyAlignment="1" applyProtection="1">
      <alignment horizontal="center" vertical="center" wrapText="1"/>
    </xf>
    <xf numFmtId="0" fontId="31" fillId="0" borderId="47" xfId="0" applyFont="1" applyBorder="1" applyAlignment="1" applyProtection="1">
      <alignment horizontal="center" vertical="center" wrapText="1"/>
    </xf>
    <xf numFmtId="0" fontId="27" fillId="4" borderId="70" xfId="25" applyFont="1" applyFill="1" applyBorder="1" applyAlignment="1" applyProtection="1">
      <alignment horizontal="center" vertical="center"/>
    </xf>
    <xf numFmtId="0" fontId="27" fillId="4" borderId="71" xfId="25" applyFont="1" applyFill="1" applyBorder="1" applyAlignment="1" applyProtection="1">
      <alignment horizontal="center" vertical="center"/>
    </xf>
    <xf numFmtId="0" fontId="27" fillId="4" borderId="72" xfId="25" applyFont="1" applyFill="1" applyBorder="1" applyAlignment="1" applyProtection="1">
      <alignment horizontal="center" vertical="center"/>
    </xf>
    <xf numFmtId="0" fontId="27" fillId="5" borderId="70" xfId="25" applyFont="1" applyFill="1" applyBorder="1" applyAlignment="1" applyProtection="1">
      <alignment horizontal="center" vertical="center"/>
    </xf>
    <xf numFmtId="0" fontId="27" fillId="5" borderId="72" xfId="25" applyFont="1" applyFill="1" applyBorder="1" applyAlignment="1" applyProtection="1">
      <alignment horizontal="center" vertical="center"/>
    </xf>
    <xf numFmtId="0" fontId="0" fillId="0" borderId="19" xfId="0" applyBorder="1" applyAlignment="1" applyProtection="1">
      <alignment horizontal="center" vertical="center"/>
    </xf>
    <xf numFmtId="0" fontId="31" fillId="6" borderId="73" xfId="0" applyFont="1" applyFill="1" applyBorder="1" applyAlignment="1" applyProtection="1">
      <alignment horizontal="center" vertical="center" wrapText="1"/>
    </xf>
    <xf numFmtId="0" fontId="31" fillId="6" borderId="75" xfId="0" applyFont="1" applyFill="1" applyBorder="1" applyAlignment="1" applyProtection="1">
      <alignment horizontal="center" vertical="center" wrapText="1"/>
    </xf>
    <xf numFmtId="0" fontId="31" fillId="6" borderId="63" xfId="0" applyFont="1" applyFill="1" applyBorder="1" applyAlignment="1" applyProtection="1">
      <alignment horizontal="center" vertical="center" wrapText="1"/>
    </xf>
    <xf numFmtId="0" fontId="31" fillId="6" borderId="64" xfId="0" applyFont="1" applyFill="1" applyBorder="1" applyAlignment="1" applyProtection="1">
      <alignment horizontal="center" vertical="center" wrapText="1"/>
    </xf>
    <xf numFmtId="0" fontId="31" fillId="6" borderId="49" xfId="0" applyFont="1" applyFill="1" applyBorder="1" applyAlignment="1" applyProtection="1">
      <alignment horizontal="center" vertical="center" wrapText="1"/>
    </xf>
    <xf numFmtId="0" fontId="31" fillId="6" borderId="47" xfId="0" applyFont="1" applyFill="1" applyBorder="1" applyAlignment="1" applyProtection="1">
      <alignment horizontal="center" vertical="center" wrapText="1"/>
    </xf>
  </cellXfs>
  <cellStyles count="29">
    <cellStyle name="Comma" xfId="1" builtinId="3"/>
    <cellStyle name="Comma 10" xfId="2" xr:uid="{00000000-0005-0000-0000-000001000000}"/>
    <cellStyle name="Comma 11" xfId="3" xr:uid="{00000000-0005-0000-0000-000002000000}"/>
    <cellStyle name="Comma 2" xfId="4" xr:uid="{00000000-0005-0000-0000-000003000000}"/>
    <cellStyle name="Comma 2 2" xfId="5" xr:uid="{00000000-0005-0000-0000-000004000000}"/>
    <cellStyle name="Comma 3" xfId="6" xr:uid="{00000000-0005-0000-0000-000005000000}"/>
    <cellStyle name="Currency 2" xfId="7" xr:uid="{00000000-0005-0000-0000-000006000000}"/>
    <cellStyle name="Excel Built-in Normal" xfId="8" xr:uid="{00000000-0005-0000-0000-000007000000}"/>
    <cellStyle name="Hyperlink" xfId="9" builtinId="8"/>
    <cellStyle name="Hyperlink 2" xfId="10" xr:uid="{00000000-0005-0000-0000-000009000000}"/>
    <cellStyle name="Hyperlink 2 2" xfId="11" xr:uid="{00000000-0005-0000-0000-00000A000000}"/>
    <cellStyle name="Hyperlink 3" xfId="12" xr:uid="{00000000-0005-0000-0000-00000B000000}"/>
    <cellStyle name="Hyperlink 4" xfId="13" xr:uid="{00000000-0005-0000-0000-00000C000000}"/>
    <cellStyle name="Normal" xfId="0" builtinId="0"/>
    <cellStyle name="Normal 12" xfId="14" xr:uid="{00000000-0005-0000-0000-00000E000000}"/>
    <cellStyle name="Normal 2" xfId="15" xr:uid="{00000000-0005-0000-0000-00000F000000}"/>
    <cellStyle name="Normal 2 2 3" xfId="16" xr:uid="{00000000-0005-0000-0000-000010000000}"/>
    <cellStyle name="Normal 3" xfId="17" xr:uid="{00000000-0005-0000-0000-000011000000}"/>
    <cellStyle name="Normal 4" xfId="18" xr:uid="{00000000-0005-0000-0000-000012000000}"/>
    <cellStyle name="Normal 4 2" xfId="19" xr:uid="{00000000-0005-0000-0000-000013000000}"/>
    <cellStyle name="Normal 5" xfId="20" xr:uid="{00000000-0005-0000-0000-000014000000}"/>
    <cellStyle name="Normal 6" xfId="21" xr:uid="{00000000-0005-0000-0000-000015000000}"/>
    <cellStyle name="Normal 61" xfId="22" xr:uid="{00000000-0005-0000-0000-000016000000}"/>
    <cellStyle name="Normal 62" xfId="23" xr:uid="{00000000-0005-0000-0000-000017000000}"/>
    <cellStyle name="Normal 7" xfId="28" xr:uid="{2C3A4199-7834-48EB-B970-F509A9A5099B}"/>
    <cellStyle name="Normal 7 2" xfId="24" xr:uid="{00000000-0005-0000-0000-000018000000}"/>
    <cellStyle name="Normal_Sheet1" xfId="25" xr:uid="{00000000-0005-0000-0000-000019000000}"/>
    <cellStyle name="Percent 2" xfId="26" xr:uid="{00000000-0005-0000-0000-00001A000000}"/>
    <cellStyle name="Total 2" xfId="27" xr:uid="{00000000-0005-0000-0000-00001B000000}"/>
  </cellStyles>
  <dxfs count="139">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patternType="none">
          <bgColor auto="1"/>
        </patternFill>
      </fill>
    </dxf>
    <dxf>
      <fill>
        <patternFill patternType="none">
          <bgColor auto="1"/>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patternType="none">
          <bgColor auto="1"/>
        </patternFill>
      </fill>
    </dxf>
    <dxf>
      <fill>
        <patternFill patternType="none">
          <bgColor auto="1"/>
        </patternFill>
      </fill>
    </dxf>
    <dxf>
      <font>
        <color rgb="FF006100"/>
      </font>
      <fill>
        <patternFill>
          <bgColor rgb="FFC6EFCE"/>
        </patternFill>
      </fill>
    </dxf>
    <dxf>
      <font>
        <color rgb="FF9C0006"/>
      </font>
      <fill>
        <patternFill>
          <bgColor rgb="FFFFC7CE"/>
        </patternFill>
      </fill>
    </dxf>
    <dxf>
      <fill>
        <patternFill>
          <bgColor rgb="FFFFFF00"/>
        </patternFill>
      </fill>
      <border>
        <left style="thin">
          <color auto="1"/>
        </left>
        <right style="thin">
          <color auto="1"/>
        </right>
        <top style="thin">
          <color auto="1"/>
        </top>
        <bottom style="thin">
          <color auto="1"/>
        </bottom>
        <vertical/>
        <horizontal/>
      </border>
    </dxf>
    <dxf>
      <fill>
        <patternFill>
          <bgColor rgb="FFFFFF00"/>
        </patternFill>
      </fill>
      <border>
        <left style="thin">
          <color auto="1"/>
        </left>
        <right style="thin">
          <color auto="1"/>
        </right>
        <top style="thin">
          <color auto="1"/>
        </top>
        <bottom style="thin">
          <color auto="1"/>
        </bottom>
        <vertical/>
        <horizontal/>
      </border>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theme="0"/>
      </font>
      <fill>
        <patternFill>
          <bgColor rgb="FFFF0000"/>
        </patternFill>
      </fill>
    </dxf>
    <dxf>
      <fill>
        <patternFill>
          <bgColor rgb="FFFFFF00"/>
        </patternFill>
      </fill>
    </dxf>
    <dxf>
      <fill>
        <patternFill>
          <bgColor rgb="FFFFFF00"/>
        </patternFill>
      </fill>
    </dxf>
    <dxf>
      <fill>
        <patternFill>
          <bgColor rgb="FFFFFF00"/>
        </patternFill>
      </fill>
      <border>
        <left style="thin">
          <color auto="1"/>
        </left>
        <right style="thin">
          <color auto="1"/>
        </right>
        <top style="thin">
          <color auto="1"/>
        </top>
        <bottom style="thin">
          <color auto="1"/>
        </bottom>
      </border>
    </dxf>
    <dxf>
      <fill>
        <patternFill>
          <bgColor rgb="FFFFFF00"/>
        </patternFill>
      </fill>
    </dxf>
    <dxf>
      <fill>
        <patternFill>
          <bgColor rgb="FFFFFF00"/>
        </patternFill>
      </fill>
    </dxf>
    <dxf>
      <fill>
        <patternFill>
          <bgColor rgb="FFFFFF00"/>
        </patternFill>
      </fill>
    </dxf>
    <dxf>
      <font>
        <b/>
        <i val="0"/>
        <color theme="0"/>
      </font>
      <fill>
        <patternFill>
          <bgColor rgb="FFC00000"/>
        </patternFill>
      </fill>
    </dxf>
    <dxf>
      <font>
        <b/>
        <i val="0"/>
      </font>
      <fill>
        <patternFill>
          <bgColor rgb="FF92D05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C00000"/>
        </patternFill>
      </fill>
    </dxf>
    <dxf>
      <font>
        <color auto="1"/>
      </font>
      <fill>
        <patternFill>
          <bgColor rgb="FF92D050"/>
        </patternFill>
      </fill>
    </dxf>
  </dxfs>
  <tableStyles count="0" defaultTableStyle="TableStyleMedium2" defaultPivotStyle="PivotStyleLight16"/>
  <colors>
    <mruColors>
      <color rgb="FFCCC0DA"/>
      <color rgb="FFFFFF99"/>
      <color rgb="FF92D050"/>
      <color rgb="FFB7DEE8"/>
      <color rgb="FFFDE9D9"/>
      <color rgb="FFD9D9D9"/>
      <color rgb="FFE6B8B7"/>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3.xml"/><Relationship Id="rId35"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514350</xdr:colOff>
      <xdr:row>0</xdr:row>
      <xdr:rowOff>127000</xdr:rowOff>
    </xdr:from>
    <xdr:to>
      <xdr:col>15</xdr:col>
      <xdr:colOff>476250</xdr:colOff>
      <xdr:row>79</xdr:row>
      <xdr:rowOff>38100</xdr:rowOff>
    </xdr:to>
    <xdr:sp macro="" textlink="">
      <xdr:nvSpPr>
        <xdr:cNvPr id="24580" name="Object 4" hidden="1">
          <a:extLst>
            <a:ext uri="{63B3BB69-23CF-44E3-9099-C40C66FF867C}">
              <a14:compatExt xmlns:a14="http://schemas.microsoft.com/office/drawing/2010/main" spid="_x0000_s24580"/>
            </a:ext>
            <a:ext uri="{FF2B5EF4-FFF2-40B4-BE49-F238E27FC236}">
              <a16:creationId xmlns:a16="http://schemas.microsoft.com/office/drawing/2014/main" id="{00000000-0008-0000-0600-000004600000}"/>
            </a:ext>
          </a:extLst>
        </xdr:cNvPr>
        <xdr:cNvSpPr/>
      </xdr:nvSpPr>
      <xdr:spPr bwMode="auto">
        <a:xfrm>
          <a:off x="0" y="0"/>
          <a:ext cx="0" cy="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mc:AlternateContent xmlns:mc="http://schemas.openxmlformats.org/markup-compatibility/2006">
    <mc:Choice xmlns:a14="http://schemas.microsoft.com/office/drawing/2010/main" Requires="a14">
      <xdr:twoCellAnchor editAs="oneCell">
        <xdr:from>
          <xdr:col>0</xdr:col>
          <xdr:colOff>85725</xdr:colOff>
          <xdr:row>1</xdr:row>
          <xdr:rowOff>76200</xdr:rowOff>
        </xdr:from>
        <xdr:to>
          <xdr:col>16</xdr:col>
          <xdr:colOff>285750</xdr:colOff>
          <xdr:row>82</xdr:row>
          <xdr:rowOff>47625</xdr:rowOff>
        </xdr:to>
        <xdr:sp macro="" textlink="">
          <xdr:nvSpPr>
            <xdr:cNvPr id="1043" name="Object 19" hidden="1">
              <a:extLst>
                <a:ext uri="{63B3BB69-23CF-44E3-9099-C40C66FF867C}">
                  <a14:compatExt spid="_x0000_s1043"/>
                </a:ext>
                <a:ext uri="{FF2B5EF4-FFF2-40B4-BE49-F238E27FC236}">
                  <a16:creationId xmlns:a16="http://schemas.microsoft.com/office/drawing/2014/main" id="{00000000-0008-0000-0600-000013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2</xdr:col>
      <xdr:colOff>3238500</xdr:colOff>
      <xdr:row>5</xdr:row>
      <xdr:rowOff>175260</xdr:rowOff>
    </xdr:from>
    <xdr:to>
      <xdr:col>3</xdr:col>
      <xdr:colOff>106680</xdr:colOff>
      <xdr:row>13</xdr:row>
      <xdr:rowOff>38100</xdr:rowOff>
    </xdr:to>
    <xdr:pic>
      <xdr:nvPicPr>
        <xdr:cNvPr id="9121" name="Picture 1" descr="Diagram of Net-metering  (2).png">
          <a:extLst>
            <a:ext uri="{FF2B5EF4-FFF2-40B4-BE49-F238E27FC236}">
              <a16:creationId xmlns:a16="http://schemas.microsoft.com/office/drawing/2014/main" id="{00000000-0008-0000-0D00-0000A123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b="61172"/>
        <a:stretch>
          <a:fillRect/>
        </a:stretch>
      </xdr:blipFill>
      <xdr:spPr bwMode="auto">
        <a:xfrm>
          <a:off x="3817620" y="1714500"/>
          <a:ext cx="5600700" cy="1424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3108960</xdr:colOff>
      <xdr:row>15</xdr:row>
      <xdr:rowOff>0</xdr:rowOff>
    </xdr:from>
    <xdr:to>
      <xdr:col>3</xdr:col>
      <xdr:colOff>45720</xdr:colOff>
      <xdr:row>25</xdr:row>
      <xdr:rowOff>106680</xdr:rowOff>
    </xdr:to>
    <xdr:pic>
      <xdr:nvPicPr>
        <xdr:cNvPr id="9122" name="Picture 2" descr="Diagram of Net-metering  (2).png">
          <a:extLst>
            <a:ext uri="{FF2B5EF4-FFF2-40B4-BE49-F238E27FC236}">
              <a16:creationId xmlns:a16="http://schemas.microsoft.com/office/drawing/2014/main" id="{00000000-0008-0000-0D00-0000A223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l="-1691" t="42711"/>
        <a:stretch>
          <a:fillRect/>
        </a:stretch>
      </xdr:blipFill>
      <xdr:spPr bwMode="auto">
        <a:xfrm>
          <a:off x="3688080" y="3497580"/>
          <a:ext cx="5669280" cy="2087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6057900</xdr:colOff>
      <xdr:row>31</xdr:row>
      <xdr:rowOff>30480</xdr:rowOff>
    </xdr:from>
    <xdr:to>
      <xdr:col>2</xdr:col>
      <xdr:colOff>8260080</xdr:colOff>
      <xdr:row>38</xdr:row>
      <xdr:rowOff>106680</xdr:rowOff>
    </xdr:to>
    <xdr:pic>
      <xdr:nvPicPr>
        <xdr:cNvPr id="9123" name="Picture 5" descr="Image result for solar pv snow">
          <a:extLst>
            <a:ext uri="{FF2B5EF4-FFF2-40B4-BE49-F238E27FC236}">
              <a16:creationId xmlns:a16="http://schemas.microsoft.com/office/drawing/2014/main" id="{00000000-0008-0000-0D00-0000A323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37020" y="7040880"/>
          <a:ext cx="2202180" cy="14630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5859780</xdr:colOff>
      <xdr:row>49</xdr:row>
      <xdr:rowOff>129540</xdr:rowOff>
    </xdr:from>
    <xdr:to>
      <xdr:col>2</xdr:col>
      <xdr:colOff>8214360</xdr:colOff>
      <xdr:row>57</xdr:row>
      <xdr:rowOff>60961</xdr:rowOff>
    </xdr:to>
    <xdr:pic>
      <xdr:nvPicPr>
        <xdr:cNvPr id="9124" name="Picture 6" descr="http://cleantechnica.com/files/2014/04/have-a-sunny-day_1.jpg">
          <a:extLst>
            <a:ext uri="{FF2B5EF4-FFF2-40B4-BE49-F238E27FC236}">
              <a16:creationId xmlns:a16="http://schemas.microsoft.com/office/drawing/2014/main" id="{00000000-0008-0000-0D00-0000A423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438900" y="11452860"/>
          <a:ext cx="2354580" cy="15316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cfonline-my.sharepoint.com/Users/jbissetta/Downloads/MY%20DOCS%20LOCAL/GC%20Annual%20Report%20FY2017/GC%20Annual%20Report%20FY2017%20-%20FIXED%20CALC_17_10_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icfonline-my.sharepoint.com/Users/13571/AppData/Local/Microsoft/Windows/Temporary%20Internet%20Files/Content.Outlook/2OZXWM8A/EnergyConversions_.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icfonline-my.sharepoint.com/Users/jbissetta/Downloads/Natick%20Annual%20Report%20FY2017%2010.2.1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icfonline-my.sharepoint.com/Users/kbrown/AppData/Local/Microsoft/Windows/Temporary%20Internet%20Files/Content.IE5/1U1J3KNY/Copy%20of%20CR3%20Tbl5%20Prototype%20-%20Synapse%20with%20KB%20Edit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structions "/>
      <sheetName val="Crit 1 &amp; 2"/>
      <sheetName val="Crit 1 &amp; 2 - Table 1 Sample"/>
      <sheetName val="Crit 3 - Overview"/>
      <sheetName val="Building Stock Changes Doc "/>
      <sheetName val="Building Stock Change Calc fix"/>
      <sheetName val="Crit 3 - Table  2 Progress"/>
      <sheetName val="Crit 3 -Tbl 3 for Non-MEI Users"/>
      <sheetName val="Crit 3 - ECMs"/>
      <sheetName val="Crit 3 - Table 4 ECMs"/>
      <sheetName val="Crit 3 - Tbl 4 ECMs SAMPLE Data"/>
      <sheetName val="RE Guidance"/>
      <sheetName val="Crit 3 - Table 5 RE"/>
      <sheetName val="Crit 4 - Vehicle Policies"/>
      <sheetName val="Crit 4- Table 6 Vehicle Inv."/>
      <sheetName val="Crit 4 - Table 6 SAMPLE"/>
      <sheetName val="Crit 5 - Stretch Code Table 7"/>
      <sheetName val="Other Notes"/>
      <sheetName val="DOER reference"/>
      <sheetName val="Reference"/>
      <sheetName val="Sheet1"/>
    </sheetNames>
    <sheetDataSet>
      <sheetData sheetId="0"/>
      <sheetData sheetId="1"/>
      <sheetData sheetId="2"/>
      <sheetData sheetId="3"/>
      <sheetData sheetId="4"/>
      <sheetData sheetId="5" refreshError="1"/>
      <sheetData sheetId="6"/>
      <sheetData sheetId="7"/>
      <sheetData sheetId="8">
        <row r="6">
          <cell r="C6" t="str">
            <v>Behav &amp; Training</v>
          </cell>
        </row>
        <row r="7">
          <cell r="C7" t="str">
            <v>Building Control</v>
          </cell>
        </row>
        <row r="8">
          <cell r="C8" t="str">
            <v xml:space="preserve">Exterior Lighting </v>
          </cell>
        </row>
        <row r="9">
          <cell r="C9" t="str">
            <v>Interior Lighting</v>
          </cell>
        </row>
        <row r="10">
          <cell r="C10" t="str">
            <v>Fuel Conversion</v>
          </cell>
        </row>
        <row r="11">
          <cell r="C11" t="str">
            <v>Hot Water</v>
          </cell>
        </row>
        <row r="12">
          <cell r="C12" t="str">
            <v>HVAC</v>
          </cell>
        </row>
        <row r="13">
          <cell r="C13" t="str">
            <v>Pump/Motor/Drive</v>
          </cell>
        </row>
        <row r="14">
          <cell r="C14" t="str">
            <v>Refrigeration</v>
          </cell>
        </row>
        <row r="15">
          <cell r="C15" t="str">
            <v>Retrocommission</v>
          </cell>
        </row>
        <row r="16">
          <cell r="C16" t="str">
            <v>Vehicles</v>
          </cell>
        </row>
        <row r="17">
          <cell r="C17" t="str">
            <v>Weatherization</v>
          </cell>
        </row>
        <row r="18">
          <cell r="C18" t="str">
            <v>Comprehensive</v>
          </cell>
        </row>
        <row r="19">
          <cell r="C19" t="str">
            <v>Other</v>
          </cell>
        </row>
        <row r="22">
          <cell r="C22" t="str">
            <v>Complete</v>
          </cell>
        </row>
        <row r="23">
          <cell r="C23" t="str">
            <v>Active</v>
          </cell>
        </row>
        <row r="24">
          <cell r="C24" t="str">
            <v>Planned</v>
          </cell>
        </row>
        <row r="25">
          <cell r="C25" t="str">
            <v>Abandoned</v>
          </cell>
        </row>
      </sheetData>
      <sheetData sheetId="9"/>
      <sheetData sheetId="10"/>
      <sheetData sheetId="11"/>
      <sheetData sheetId="12"/>
      <sheetData sheetId="13"/>
      <sheetData sheetId="14"/>
      <sheetData sheetId="15"/>
      <sheetData sheetId="16"/>
      <sheetData sheetId="17"/>
      <sheetData sheetId="18">
        <row r="1">
          <cell r="F1" t="str">
            <v>&lt;Select YES or NO&gt;</v>
          </cell>
          <cell r="G1" t="str">
            <v>&lt;Select Year&gt;</v>
          </cell>
          <cell r="H1" t="str">
            <v>&lt;Select Drive System&gt;</v>
          </cell>
          <cell r="I1" t="str">
            <v>&lt;Select One&gt;</v>
          </cell>
          <cell r="J1" t="str">
            <v>&lt;Select One&gt;</v>
          </cell>
          <cell r="M1" t="str">
            <v>&lt;Select One&gt;</v>
          </cell>
        </row>
        <row r="2">
          <cell r="F2" t="str">
            <v>YES</v>
          </cell>
          <cell r="G2" t="str">
            <v>FY2008</v>
          </cell>
          <cell r="H2" t="str">
            <v>2WD</v>
          </cell>
          <cell r="I2" t="str">
            <v>Y</v>
          </cell>
          <cell r="J2" t="str">
            <v>E</v>
          </cell>
          <cell r="M2" t="str">
            <v>Null</v>
          </cell>
        </row>
        <row r="3">
          <cell r="F3" t="str">
            <v>NO</v>
          </cell>
          <cell r="G3" t="str">
            <v>FY2009</v>
          </cell>
          <cell r="H3" t="str">
            <v>4WD</v>
          </cell>
          <cell r="I3" t="str">
            <v>N</v>
          </cell>
          <cell r="J3" t="str">
            <v>NE</v>
          </cell>
          <cell r="M3" t="str">
            <v>Buildings</v>
          </cell>
        </row>
        <row r="4">
          <cell r="G4" t="str">
            <v>FY2010</v>
          </cell>
          <cell r="H4" t="str">
            <v>AWD</v>
          </cell>
          <cell r="I4" t="str">
            <v>NA</v>
          </cell>
          <cell r="M4" t="str">
            <v>Open Space</v>
          </cell>
        </row>
        <row r="5">
          <cell r="G5" t="str">
            <v>FY2011</v>
          </cell>
          <cell r="M5" t="str">
            <v>Street &amp; Traffic Lights</v>
          </cell>
        </row>
        <row r="6">
          <cell r="G6" t="str">
            <v>FY2012</v>
          </cell>
          <cell r="M6" t="str">
            <v>Vehicles</v>
          </cell>
        </row>
        <row r="7">
          <cell r="G7" t="str">
            <v>FY2013</v>
          </cell>
          <cell r="M7" t="str">
            <v>Water/Sewer</v>
          </cell>
        </row>
        <row r="8">
          <cell r="G8" t="str">
            <v>FY2014</v>
          </cell>
        </row>
        <row r="9">
          <cell r="G9" t="str">
            <v>FY2015</v>
          </cell>
        </row>
        <row r="10">
          <cell r="G10" t="str">
            <v>FY2016</v>
          </cell>
        </row>
        <row r="11">
          <cell r="G11" t="str">
            <v>FY2017</v>
          </cell>
        </row>
        <row r="12">
          <cell r="G12" t="str">
            <v>CY2007</v>
          </cell>
        </row>
        <row r="13">
          <cell r="G13" t="str">
            <v>CY2008</v>
          </cell>
        </row>
        <row r="14">
          <cell r="G14" t="str">
            <v>CY2009</v>
          </cell>
        </row>
        <row r="15">
          <cell r="G15" t="str">
            <v>CY2010</v>
          </cell>
        </row>
        <row r="16">
          <cell r="G16" t="str">
            <v>CY2011</v>
          </cell>
        </row>
        <row r="17">
          <cell r="G17" t="str">
            <v>CY2012</v>
          </cell>
        </row>
        <row r="18">
          <cell r="G18" t="str">
            <v>CY2013</v>
          </cell>
        </row>
        <row r="19">
          <cell r="G19" t="str">
            <v>CY2014</v>
          </cell>
        </row>
      </sheetData>
      <sheetData sheetId="19">
        <row r="5">
          <cell r="A5">
            <v>3.4120000000000001E-3</v>
          </cell>
        </row>
        <row r="6">
          <cell r="A6">
            <v>0.1</v>
          </cell>
        </row>
        <row r="7">
          <cell r="A7">
            <v>0.13900000000000001</v>
          </cell>
        </row>
        <row r="8">
          <cell r="A8">
            <v>9.0999999999999998E-2</v>
          </cell>
        </row>
        <row r="9">
          <cell r="A9">
            <v>0.124</v>
          </cell>
        </row>
        <row r="10">
          <cell r="A10">
            <v>0.13900000000000001</v>
          </cell>
        </row>
      </sheetData>
      <sheetData sheetId="2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RO"/>
      <sheetName val="Quick Calculations"/>
      <sheetName val="RE"/>
      <sheetName val="Building"/>
      <sheetName val="Vehicles"/>
      <sheetName val="Reference"/>
      <sheetName val="source"/>
    </sheetNames>
    <sheetDataSet>
      <sheetData sheetId="0"/>
      <sheetData sheetId="1"/>
      <sheetData sheetId="2"/>
      <sheetData sheetId="3"/>
      <sheetData sheetId="4"/>
      <sheetData sheetId="5"/>
      <sheetData sheetId="6">
        <row r="2">
          <cell r="A2">
            <v>0</v>
          </cell>
        </row>
        <row r="3">
          <cell r="A3" t="str">
            <v>FY_2002</v>
          </cell>
        </row>
        <row r="4">
          <cell r="A4" t="str">
            <v>FY_2003</v>
          </cell>
        </row>
        <row r="5">
          <cell r="A5" t="str">
            <v>FY_2004</v>
          </cell>
        </row>
        <row r="6">
          <cell r="A6" t="str">
            <v>FY_2005</v>
          </cell>
        </row>
        <row r="7">
          <cell r="A7" t="str">
            <v>FY_2006</v>
          </cell>
        </row>
        <row r="8">
          <cell r="A8" t="str">
            <v>FY_2007</v>
          </cell>
        </row>
        <row r="9">
          <cell r="A9" t="str">
            <v>FY_2008</v>
          </cell>
        </row>
        <row r="10">
          <cell r="A10" t="str">
            <v>FY_2009</v>
          </cell>
        </row>
        <row r="11">
          <cell r="A11" t="str">
            <v>FY_2010</v>
          </cell>
        </row>
        <row r="12">
          <cell r="A12" t="str">
            <v>FY_2011</v>
          </cell>
        </row>
        <row r="13">
          <cell r="A13" t="str">
            <v>FY_2012</v>
          </cell>
        </row>
        <row r="14">
          <cell r="A14" t="str">
            <v>FY_2013</v>
          </cell>
        </row>
        <row r="15">
          <cell r="A15" t="str">
            <v>FY_2014</v>
          </cell>
        </row>
        <row r="16">
          <cell r="A16" t="str">
            <v>CY_2001</v>
          </cell>
        </row>
        <row r="17">
          <cell r="A17" t="str">
            <v>CY_2002</v>
          </cell>
        </row>
        <row r="18">
          <cell r="A18" t="str">
            <v>CY_2003</v>
          </cell>
        </row>
        <row r="19">
          <cell r="A19" t="str">
            <v>CY_2004</v>
          </cell>
        </row>
        <row r="20">
          <cell r="A20" t="str">
            <v>CY_2005</v>
          </cell>
        </row>
        <row r="21">
          <cell r="A21" t="str">
            <v>CY_2006</v>
          </cell>
        </row>
        <row r="22">
          <cell r="A22" t="str">
            <v>CY_2007</v>
          </cell>
        </row>
        <row r="23">
          <cell r="A23" t="str">
            <v>CY_2008</v>
          </cell>
        </row>
        <row r="24">
          <cell r="A24" t="str">
            <v>CY_2009</v>
          </cell>
        </row>
        <row r="25">
          <cell r="A25" t="str">
            <v>CY_2010</v>
          </cell>
        </row>
        <row r="26">
          <cell r="A26" t="str">
            <v>CY_2011</v>
          </cell>
        </row>
        <row r="27">
          <cell r="A27" t="str">
            <v>CY_2012</v>
          </cell>
        </row>
        <row r="28">
          <cell r="A28" t="str">
            <v>CY_2013</v>
          </cell>
        </row>
        <row r="29">
          <cell r="A29" t="str">
            <v>CY_2014</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Instructions "/>
      <sheetName val="Crit 1 &amp; 2"/>
      <sheetName val="Crit 3 - Overview"/>
      <sheetName val="Building Stock Changes Doc "/>
      <sheetName val="Building Stock Change Calc fix"/>
      <sheetName val="Building Stock Change Calculato"/>
      <sheetName val="Crit 3 - Table  2 Progress"/>
      <sheetName val="Crit 3 -Tbl 3 for Non-MEI Users"/>
      <sheetName val="Crit 3 - ECMs"/>
      <sheetName val="Crit 3 - Table 4 ECMs"/>
      <sheetName val="RE Guidance"/>
      <sheetName val="Crit 3 - Table 5 RE"/>
      <sheetName val="Crit 4 - Vehicle Policies"/>
      <sheetName val="Crit 4- Table 6 Vehicle Inv."/>
      <sheetName val="Crit 5 - Stretch Code Table 7"/>
      <sheetName val="Other Notes"/>
      <sheetName val="DOER reference"/>
      <sheetName val="Reference"/>
      <sheetName val="Sheet1"/>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20">
          <cell r="J20" t="str">
            <v>Solar PV, Roof</v>
          </cell>
          <cell r="L20" t="str">
            <v>Municipal Building</v>
          </cell>
          <cell r="P20" t="str">
            <v>Y - conventional net metered</v>
          </cell>
          <cell r="S20" t="str">
            <v>Complete</v>
          </cell>
        </row>
        <row r="21">
          <cell r="J21" t="str">
            <v>Solar PV, Ground</v>
          </cell>
          <cell r="L21" t="str">
            <v>School</v>
          </cell>
          <cell r="P21" t="str">
            <v>Y - virtually net metered</v>
          </cell>
          <cell r="S21" t="str">
            <v>Active</v>
          </cell>
        </row>
        <row r="22">
          <cell r="J22" t="str">
            <v>Solar PV, Canopy</v>
          </cell>
          <cell r="L22" t="str">
            <v>Private Building</v>
          </cell>
          <cell r="S22" t="str">
            <v>Planned</v>
          </cell>
        </row>
        <row r="23">
          <cell r="J23" t="str">
            <v>Solar Thermal</v>
          </cell>
          <cell r="L23" t="str">
            <v>Water/Wastewater Plant</v>
          </cell>
          <cell r="P23" t="str">
            <v>N</v>
          </cell>
          <cell r="S23" t="str">
            <v>Abandoned</v>
          </cell>
        </row>
        <row r="24">
          <cell r="J24" t="str">
            <v>Wind</v>
          </cell>
          <cell r="L24" t="str">
            <v>Brownfield - Landfill</v>
          </cell>
          <cell r="P24" t="str">
            <v>Other</v>
          </cell>
        </row>
        <row r="25">
          <cell r="J25" t="str">
            <v>Wood, Boiler/Furnace</v>
          </cell>
          <cell r="L25" t="str">
            <v>Brownfield - Not landfill</v>
          </cell>
        </row>
        <row r="26">
          <cell r="J26" t="str">
            <v>CHP, Gas</v>
          </cell>
          <cell r="L26" t="str">
            <v>Greenfield</v>
          </cell>
        </row>
        <row r="27">
          <cell r="J27" t="str">
            <v>CHP, Wood</v>
          </cell>
          <cell r="L27" t="str">
            <v>Parking Lot</v>
          </cell>
        </row>
        <row r="28">
          <cell r="J28" t="str">
            <v>Hydro</v>
          </cell>
          <cell r="L28" t="str">
            <v>Other</v>
          </cell>
        </row>
        <row r="29">
          <cell r="J29" t="str">
            <v>Other</v>
          </cell>
        </row>
      </sheetData>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it 3 -Table 2 Progress"/>
      <sheetName val="Crit 3 - Table 5 RE"/>
      <sheetName val="Drop Downs"/>
      <sheetName val="DOER reference"/>
      <sheetName val="Reference"/>
    </sheetNames>
    <sheetDataSet>
      <sheetData sheetId="0"/>
      <sheetData sheetId="1"/>
      <sheetData sheetId="2">
        <row r="2">
          <cell r="A2" t="str">
            <v>Solar PV, Roof</v>
          </cell>
          <cell r="C2" t="str">
            <v>Municipal Building</v>
          </cell>
          <cell r="J2" t="str">
            <v>Complete</v>
          </cell>
        </row>
        <row r="3">
          <cell r="A3" t="str">
            <v>Solar PV, Ground</v>
          </cell>
          <cell r="C3" t="str">
            <v>School</v>
          </cell>
          <cell r="J3" t="str">
            <v>Active</v>
          </cell>
        </row>
        <row r="4">
          <cell r="A4" t="str">
            <v>Solar PV, Canopy</v>
          </cell>
          <cell r="C4" t="str">
            <v>Private Building</v>
          </cell>
          <cell r="J4" t="str">
            <v>Planned</v>
          </cell>
        </row>
        <row r="5">
          <cell r="A5" t="str">
            <v>Solar Thermal</v>
          </cell>
          <cell r="C5" t="str">
            <v>Water/Wastewater Plant</v>
          </cell>
          <cell r="J5" t="str">
            <v>Abandoned</v>
          </cell>
        </row>
        <row r="6">
          <cell r="A6" t="str">
            <v>Wind</v>
          </cell>
          <cell r="C6" t="str">
            <v>Brownfield - Landfill</v>
          </cell>
        </row>
        <row r="7">
          <cell r="A7" t="str">
            <v>Wood, Boiler/Furnace</v>
          </cell>
          <cell r="C7" t="str">
            <v>Brownfield - Not landfill</v>
          </cell>
        </row>
        <row r="8">
          <cell r="A8" t="str">
            <v>CHP, Gas</v>
          </cell>
          <cell r="C8" t="str">
            <v>Greenfield</v>
          </cell>
        </row>
        <row r="9">
          <cell r="A9" t="str">
            <v>CHP, Wood</v>
          </cell>
          <cell r="C9" t="str">
            <v>Parking Lot</v>
          </cell>
        </row>
        <row r="10">
          <cell r="A10" t="str">
            <v>Hydro</v>
          </cell>
          <cell r="C10" t="str">
            <v>Other</v>
          </cell>
        </row>
        <row r="11">
          <cell r="A11" t="str">
            <v>Other</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www.fueleconomy.gov/" TargetMode="External"/><Relationship Id="rId1" Type="http://schemas.openxmlformats.org/officeDocument/2006/relationships/hyperlink" Target="http://www.energystar.gov/ia/business/downloads/BP_Checklist.pdf" TargetMode="External"/></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sites.google.com/site/massdgic/home/net-metering" TargetMode="External"/><Relationship Id="rId1" Type="http://schemas.openxmlformats.org/officeDocument/2006/relationships/hyperlink" Target="https://www.nationalgridus.com/non_html/MA_DG_First_Bill.pdf" TargetMode="External"/><Relationship Id="rId4" Type="http://schemas.openxmlformats.org/officeDocument/2006/relationships/drawing" Target="../drawings/drawing2.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www.fueleconomy.gov/"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www.fueleconomy.gov/"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3" Type="http://schemas.openxmlformats.org/officeDocument/2006/relationships/hyperlink" Target="http://www.theclimateregistry.org/downloads/2013/01/2013-Climate-Registry-Default-Emissions-Factors.pdf;%201%20Gallon%20Gasoline%20Equivalent%20=%20126.67%20SCF-%20%20CNG%20is%20typically%20sold%20in%20GGE%20instead%20of%20SCF" TargetMode="External"/><Relationship Id="rId2" Type="http://schemas.openxmlformats.org/officeDocument/2006/relationships/hyperlink" Target="http://www.theclimateregistry.org/downloads/2013/01/2013-Climate-Registry-Default-Emissions-Factors.pdf" TargetMode="External"/><Relationship Id="rId1" Type="http://schemas.openxmlformats.org/officeDocument/2006/relationships/hyperlink" Target="http://www.epa.gov/cleanenergy/energy-resources/ref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8"/>
  <sheetViews>
    <sheetView workbookViewId="0">
      <selection activeCell="A2" sqref="A2"/>
    </sheetView>
  </sheetViews>
  <sheetFormatPr defaultRowHeight="12.75" x14ac:dyDescent="0.2"/>
  <cols>
    <col min="1" max="1" width="13.42578125" customWidth="1"/>
  </cols>
  <sheetData>
    <row r="1" spans="1:2" x14ac:dyDescent="0.2">
      <c r="A1" s="1" t="s">
        <v>0</v>
      </c>
      <c r="B1" s="1" t="s">
        <v>1</v>
      </c>
    </row>
    <row r="2" spans="1:2" x14ac:dyDescent="0.2">
      <c r="A2" s="1" t="s">
        <v>2</v>
      </c>
      <c r="B2" s="1" t="s">
        <v>3</v>
      </c>
    </row>
    <row r="4" spans="1:2" x14ac:dyDescent="0.2">
      <c r="A4" s="1" t="s">
        <v>4</v>
      </c>
      <c r="B4" s="1" t="s">
        <v>5</v>
      </c>
    </row>
    <row r="6" spans="1:2" x14ac:dyDescent="0.2">
      <c r="A6" s="1" t="s">
        <v>6</v>
      </c>
      <c r="B6" t="s">
        <v>7</v>
      </c>
    </row>
    <row r="8" spans="1:2" ht="35.25" customHeight="1" x14ac:dyDescent="0.2">
      <c r="A8" s="1" t="s">
        <v>8</v>
      </c>
      <c r="B8" s="1" t="s">
        <v>689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theme="1"/>
  </sheetPr>
  <dimension ref="A1:N39"/>
  <sheetViews>
    <sheetView showGridLines="0" topLeftCell="A25" zoomScale="110" zoomScaleNormal="110" workbookViewId="0">
      <selection activeCell="D34" sqref="D34"/>
    </sheetView>
  </sheetViews>
  <sheetFormatPr defaultColWidth="0" defaultRowHeight="12.75" zeroHeight="1" x14ac:dyDescent="0.2"/>
  <cols>
    <col min="1" max="2" width="3.140625" style="60" customWidth="1"/>
    <col min="3" max="3" width="22.5703125" style="60" customWidth="1"/>
    <col min="4" max="4" width="27.28515625" style="60" bestFit="1" customWidth="1"/>
    <col min="5" max="11" width="8.85546875" style="60" customWidth="1"/>
    <col min="12" max="12" width="6.7109375" style="60" customWidth="1"/>
    <col min="13" max="14" width="3.7109375" style="60" customWidth="1"/>
    <col min="15" max="16384" width="8.85546875" style="60" hidden="1"/>
  </cols>
  <sheetData>
    <row r="1" spans="2:13" ht="13.5" thickBot="1" x14ac:dyDescent="0.25"/>
    <row r="2" spans="2:13" ht="34.15" customHeight="1" x14ac:dyDescent="0.2">
      <c r="B2" s="136"/>
      <c r="C2" s="137" t="s">
        <v>9</v>
      </c>
      <c r="D2" s="62"/>
      <c r="E2" s="138"/>
      <c r="F2" s="138"/>
      <c r="G2" s="138"/>
      <c r="H2" s="138"/>
      <c r="I2" s="138"/>
      <c r="J2" s="138"/>
      <c r="K2" s="138"/>
      <c r="L2" s="138"/>
      <c r="M2" s="139"/>
    </row>
    <row r="3" spans="2:13" x14ac:dyDescent="0.2">
      <c r="B3" s="140"/>
      <c r="C3" s="600" t="s">
        <v>655</v>
      </c>
      <c r="D3" s="597"/>
      <c r="E3" s="142"/>
      <c r="F3" s="142"/>
      <c r="G3" s="142"/>
      <c r="H3" s="142"/>
      <c r="I3" s="142"/>
      <c r="J3" s="142"/>
      <c r="K3" s="142"/>
      <c r="L3" s="142"/>
      <c r="M3" s="141"/>
    </row>
    <row r="4" spans="2:13" ht="12" customHeight="1" x14ac:dyDescent="0.2">
      <c r="B4" s="140"/>
      <c r="C4" s="591"/>
      <c r="D4" s="592" t="s">
        <v>653</v>
      </c>
      <c r="E4" s="142"/>
      <c r="F4" s="142"/>
      <c r="G4" s="142"/>
      <c r="H4" s="142"/>
      <c r="I4" s="142"/>
      <c r="J4" s="142"/>
      <c r="K4" s="142"/>
      <c r="L4" s="142"/>
      <c r="M4" s="141"/>
    </row>
    <row r="5" spans="2:13" ht="12" customHeight="1" x14ac:dyDescent="0.2">
      <c r="B5" s="140"/>
      <c r="C5" s="593"/>
      <c r="D5" s="594" t="s">
        <v>651</v>
      </c>
      <c r="E5" s="142"/>
      <c r="F5" s="142"/>
      <c r="G5" s="142"/>
      <c r="H5" s="142"/>
      <c r="I5" s="142"/>
      <c r="J5" s="142"/>
      <c r="K5" s="142"/>
      <c r="L5" s="142"/>
      <c r="M5" s="141"/>
    </row>
    <row r="6" spans="2:13" ht="12" customHeight="1" x14ac:dyDescent="0.2">
      <c r="B6" s="140"/>
      <c r="C6" s="595"/>
      <c r="D6" s="596" t="s">
        <v>652</v>
      </c>
      <c r="E6" s="142"/>
      <c r="F6" s="142"/>
      <c r="G6" s="142"/>
      <c r="H6" s="142"/>
      <c r="I6" s="142"/>
      <c r="J6" s="142"/>
      <c r="K6" s="142"/>
      <c r="L6" s="142"/>
      <c r="M6" s="141"/>
    </row>
    <row r="7" spans="2:13" x14ac:dyDescent="0.2">
      <c r="B7" s="140"/>
      <c r="C7" s="880" t="s">
        <v>678</v>
      </c>
      <c r="D7" s="881"/>
      <c r="E7" s="881"/>
      <c r="F7" s="881"/>
      <c r="G7" s="881"/>
      <c r="H7" s="881"/>
      <c r="I7" s="881"/>
      <c r="J7" s="881"/>
      <c r="K7" s="881"/>
      <c r="L7" s="881"/>
      <c r="M7" s="141"/>
    </row>
    <row r="8" spans="2:13" ht="38.450000000000003" customHeight="1" x14ac:dyDescent="0.2">
      <c r="B8" s="140"/>
      <c r="C8" s="881"/>
      <c r="D8" s="881"/>
      <c r="E8" s="881"/>
      <c r="F8" s="881"/>
      <c r="G8" s="881"/>
      <c r="H8" s="881"/>
      <c r="I8" s="881"/>
      <c r="J8" s="881"/>
      <c r="K8" s="881"/>
      <c r="L8" s="881"/>
      <c r="M8" s="141"/>
    </row>
    <row r="9" spans="2:13" ht="22.15" customHeight="1" x14ac:dyDescent="0.2">
      <c r="B9" s="140"/>
      <c r="C9" s="882" t="s">
        <v>10</v>
      </c>
      <c r="D9" s="883"/>
      <c r="E9" s="883"/>
      <c r="F9" s="883"/>
      <c r="G9" s="883"/>
      <c r="H9" s="883"/>
      <c r="I9" s="883"/>
      <c r="J9" s="883"/>
      <c r="K9" s="529"/>
      <c r="L9" s="529"/>
      <c r="M9" s="141"/>
    </row>
    <row r="10" spans="2:13" ht="21" customHeight="1" x14ac:dyDescent="0.2">
      <c r="B10" s="140"/>
      <c r="C10" s="880" t="s">
        <v>11</v>
      </c>
      <c r="D10" s="881"/>
      <c r="E10" s="881"/>
      <c r="F10" s="881"/>
      <c r="G10" s="881"/>
      <c r="H10" s="881"/>
      <c r="I10" s="881"/>
      <c r="J10" s="881"/>
      <c r="K10" s="881"/>
      <c r="L10" s="881"/>
      <c r="M10" s="141"/>
    </row>
    <row r="11" spans="2:13" ht="24.75" customHeight="1" x14ac:dyDescent="0.2">
      <c r="B11" s="140"/>
      <c r="C11" s="880" t="s">
        <v>12</v>
      </c>
      <c r="D11" s="881"/>
      <c r="E11" s="881"/>
      <c r="F11" s="881"/>
      <c r="G11" s="881"/>
      <c r="H11" s="881"/>
      <c r="I11" s="881"/>
      <c r="J11" s="881"/>
      <c r="K11" s="881"/>
      <c r="L11" s="881"/>
      <c r="M11" s="141"/>
    </row>
    <row r="12" spans="2:13" x14ac:dyDescent="0.2">
      <c r="B12" s="140"/>
      <c r="C12" s="880" t="s">
        <v>13</v>
      </c>
      <c r="D12" s="881"/>
      <c r="E12" s="881"/>
      <c r="F12" s="881"/>
      <c r="G12" s="881"/>
      <c r="H12" s="881"/>
      <c r="I12" s="881"/>
      <c r="J12" s="881"/>
      <c r="K12" s="881"/>
      <c r="L12" s="881"/>
      <c r="M12" s="141"/>
    </row>
    <row r="13" spans="2:13" x14ac:dyDescent="0.2">
      <c r="B13" s="140"/>
      <c r="C13" s="881"/>
      <c r="D13" s="881"/>
      <c r="E13" s="881"/>
      <c r="F13" s="881"/>
      <c r="G13" s="881"/>
      <c r="H13" s="881"/>
      <c r="I13" s="881"/>
      <c r="J13" s="881"/>
      <c r="K13" s="881"/>
      <c r="L13" s="881"/>
      <c r="M13" s="141"/>
    </row>
    <row r="14" spans="2:13" ht="21.75" customHeight="1" x14ac:dyDescent="0.2">
      <c r="B14" s="140"/>
      <c r="C14" s="881"/>
      <c r="D14" s="881"/>
      <c r="E14" s="881"/>
      <c r="F14" s="881"/>
      <c r="G14" s="881"/>
      <c r="H14" s="881"/>
      <c r="I14" s="881"/>
      <c r="J14" s="881"/>
      <c r="K14" s="881"/>
      <c r="L14" s="881"/>
      <c r="M14" s="141"/>
    </row>
    <row r="15" spans="2:13" ht="51.6" customHeight="1" x14ac:dyDescent="0.2">
      <c r="B15" s="140"/>
      <c r="C15" s="880" t="s">
        <v>14</v>
      </c>
      <c r="D15" s="881"/>
      <c r="E15" s="881"/>
      <c r="F15" s="881"/>
      <c r="G15" s="881"/>
      <c r="H15" s="881"/>
      <c r="I15" s="881"/>
      <c r="J15" s="881"/>
      <c r="K15" s="881"/>
      <c r="L15" s="881"/>
      <c r="M15" s="141"/>
    </row>
    <row r="16" spans="2:13" ht="40.9" customHeight="1" x14ac:dyDescent="0.2">
      <c r="B16" s="140"/>
      <c r="C16" s="884" t="s">
        <v>15</v>
      </c>
      <c r="D16" s="885"/>
      <c r="E16" s="885"/>
      <c r="F16" s="885"/>
      <c r="G16" s="885"/>
      <c r="H16" s="885"/>
      <c r="I16" s="885"/>
      <c r="J16" s="885"/>
      <c r="K16" s="885"/>
      <c r="L16" s="885"/>
      <c r="M16" s="141"/>
    </row>
    <row r="17" spans="2:13" ht="29.25" customHeight="1" x14ac:dyDescent="0.2">
      <c r="B17" s="140"/>
      <c r="C17" s="885"/>
      <c r="D17" s="885"/>
      <c r="E17" s="885"/>
      <c r="F17" s="885"/>
      <c r="G17" s="885"/>
      <c r="H17" s="885"/>
      <c r="I17" s="885"/>
      <c r="J17" s="885"/>
      <c r="K17" s="885"/>
      <c r="L17" s="885"/>
      <c r="M17" s="141"/>
    </row>
    <row r="18" spans="2:13" ht="1.9" customHeight="1" x14ac:dyDescent="0.2">
      <c r="B18" s="140"/>
      <c r="C18" s="530"/>
      <c r="D18" s="531"/>
      <c r="E18" s="531"/>
      <c r="F18" s="531"/>
      <c r="G18" s="531"/>
      <c r="H18" s="531"/>
      <c r="I18" s="531"/>
      <c r="J18" s="531"/>
      <c r="K18" s="531"/>
      <c r="L18" s="531"/>
      <c r="M18" s="141"/>
    </row>
    <row r="19" spans="2:13" ht="21" customHeight="1" x14ac:dyDescent="0.2">
      <c r="B19" s="140"/>
      <c r="C19" s="887" t="s">
        <v>16</v>
      </c>
      <c r="D19" s="887"/>
      <c r="E19" s="887"/>
      <c r="F19" s="887"/>
      <c r="G19" s="887"/>
      <c r="H19" s="887"/>
      <c r="I19" s="887"/>
      <c r="J19" s="887"/>
      <c r="K19" s="887"/>
      <c r="L19" s="887"/>
      <c r="M19" s="162"/>
    </row>
    <row r="20" spans="2:13" ht="12.6" customHeight="1" x14ac:dyDescent="0.2">
      <c r="B20" s="140"/>
      <c r="C20" s="547"/>
      <c r="D20" s="547"/>
      <c r="E20" s="547"/>
      <c r="F20" s="547"/>
      <c r="G20" s="547"/>
      <c r="H20" s="547"/>
      <c r="I20" s="547"/>
      <c r="J20" s="547"/>
      <c r="K20" s="547"/>
      <c r="L20" s="547"/>
      <c r="M20" s="162"/>
    </row>
    <row r="21" spans="2:13" ht="24.95" customHeight="1" x14ac:dyDescent="0.2">
      <c r="B21" s="140"/>
      <c r="C21" s="888" t="s">
        <v>692</v>
      </c>
      <c r="D21" s="888"/>
      <c r="E21" s="888"/>
      <c r="F21" s="888"/>
      <c r="G21" s="888"/>
      <c r="H21" s="888"/>
      <c r="I21" s="888"/>
      <c r="J21" s="888"/>
      <c r="K21" s="888"/>
      <c r="L21" s="888"/>
      <c r="M21" s="162"/>
    </row>
    <row r="22" spans="2:13" ht="24.95" customHeight="1" x14ac:dyDescent="0.2">
      <c r="B22" s="140"/>
      <c r="C22" s="889" t="str">
        <f>IF(SUM('AR Compliance Checklist'!$F$13:$F$66)&gt;0,"Annual Report is not complete. Please review the AR Compliace Checklist.","Annual Report is complete.")</f>
        <v>Annual Report is complete.</v>
      </c>
      <c r="D22" s="889"/>
      <c r="E22" s="889"/>
      <c r="F22" s="889"/>
      <c r="G22" s="889"/>
      <c r="H22" s="889"/>
      <c r="I22" s="889"/>
      <c r="J22" s="889"/>
      <c r="K22" s="889"/>
      <c r="L22" s="889"/>
      <c r="M22" s="162"/>
    </row>
    <row r="23" spans="2:13" ht="10.9" customHeight="1" x14ac:dyDescent="0.2">
      <c r="B23" s="140"/>
      <c r="C23" s="601"/>
      <c r="D23" s="142"/>
      <c r="E23" s="142"/>
      <c r="F23" s="142"/>
      <c r="G23" s="142"/>
      <c r="H23" s="142"/>
      <c r="I23" s="142"/>
      <c r="J23" s="142"/>
      <c r="K23" s="142"/>
      <c r="L23" s="142"/>
      <c r="M23" s="141"/>
    </row>
    <row r="24" spans="2:13" ht="8.4499999999999993" customHeight="1" thickBot="1" x14ac:dyDescent="0.25">
      <c r="B24" s="140"/>
      <c r="C24" s="142"/>
      <c r="D24" s="142"/>
      <c r="E24" s="142"/>
      <c r="F24" s="142"/>
      <c r="G24" s="142"/>
      <c r="H24" s="142"/>
      <c r="I24" s="142"/>
      <c r="J24" s="142"/>
      <c r="K24" s="142"/>
      <c r="L24" s="142"/>
      <c r="M24" s="141"/>
    </row>
    <row r="25" spans="2:13" ht="33" customHeight="1" thickBot="1" x14ac:dyDescent="0.3">
      <c r="B25" s="140"/>
      <c r="C25" s="5" t="s">
        <v>17</v>
      </c>
      <c r="D25" s="389">
        <v>42767</v>
      </c>
      <c r="E25" s="886" t="s">
        <v>18</v>
      </c>
      <c r="F25" s="886"/>
      <c r="G25" s="886"/>
      <c r="H25" s="886"/>
      <c r="I25" s="886"/>
      <c r="J25" s="886"/>
      <c r="K25" s="886"/>
      <c r="L25" s="886"/>
      <c r="M25" s="141"/>
    </row>
    <row r="26" spans="2:13" ht="27" customHeight="1" x14ac:dyDescent="0.2">
      <c r="B26" s="140"/>
      <c r="C26" s="100"/>
      <c r="D26" s="12"/>
      <c r="E26" s="12"/>
      <c r="F26" s="601"/>
      <c r="G26" s="12"/>
      <c r="H26" s="12"/>
      <c r="I26" s="12"/>
      <c r="J26" s="12"/>
      <c r="K26" s="12"/>
      <c r="L26" s="12"/>
      <c r="M26" s="143"/>
    </row>
    <row r="27" spans="2:13" ht="30" x14ac:dyDescent="0.25">
      <c r="B27" s="140"/>
      <c r="C27" s="144" t="s">
        <v>19</v>
      </c>
      <c r="D27" s="163"/>
      <c r="E27" s="12"/>
      <c r="F27" s="12"/>
      <c r="G27" s="12"/>
      <c r="H27" s="12"/>
      <c r="I27" s="12"/>
      <c r="J27" s="12"/>
      <c r="K27" s="12"/>
      <c r="L27" s="12"/>
      <c r="M27" s="65"/>
    </row>
    <row r="28" spans="2:13" ht="14.25" x14ac:dyDescent="0.2">
      <c r="B28" s="140"/>
      <c r="C28" s="100"/>
      <c r="D28" s="12"/>
      <c r="E28" s="12"/>
      <c r="F28" s="12"/>
      <c r="G28" s="12"/>
      <c r="H28" s="12"/>
      <c r="I28" s="12"/>
      <c r="J28" s="12"/>
      <c r="K28" s="12"/>
      <c r="L28" s="12"/>
      <c r="M28" s="65"/>
    </row>
    <row r="29" spans="2:13" ht="30" x14ac:dyDescent="0.25">
      <c r="B29" s="140"/>
      <c r="C29" s="144" t="s">
        <v>20</v>
      </c>
      <c r="D29" s="715" t="s">
        <v>693</v>
      </c>
      <c r="E29" s="12"/>
      <c r="F29" s="12"/>
      <c r="G29" s="12"/>
      <c r="H29" s="12"/>
      <c r="I29" s="12"/>
      <c r="J29" s="12"/>
      <c r="K29" s="12"/>
      <c r="L29" s="12"/>
      <c r="M29" s="65"/>
    </row>
    <row r="30" spans="2:13" ht="26.45" customHeight="1" x14ac:dyDescent="0.25">
      <c r="B30" s="140"/>
      <c r="C30" s="145" t="s">
        <v>21</v>
      </c>
      <c r="D30" s="716" t="s">
        <v>694</v>
      </c>
      <c r="E30" s="12"/>
      <c r="F30" s="12"/>
      <c r="G30" s="12"/>
      <c r="H30" s="12"/>
      <c r="I30" s="12"/>
      <c r="J30" s="12"/>
      <c r="K30" s="12"/>
      <c r="L30" s="12"/>
      <c r="M30" s="65"/>
    </row>
    <row r="31" spans="2:13" ht="21" customHeight="1" x14ac:dyDescent="0.25">
      <c r="B31" s="140"/>
      <c r="C31" s="145" t="s">
        <v>22</v>
      </c>
      <c r="D31" s="567" t="s">
        <v>695</v>
      </c>
      <c r="E31" s="12"/>
      <c r="F31" s="12"/>
      <c r="G31" s="128"/>
      <c r="H31" s="12"/>
      <c r="I31" s="146"/>
      <c r="J31" s="12"/>
      <c r="K31" s="12"/>
      <c r="L31" s="12"/>
      <c r="M31" s="65"/>
    </row>
    <row r="32" spans="2:13" ht="26.25" customHeight="1" x14ac:dyDescent="0.2">
      <c r="B32" s="140"/>
      <c r="C32" s="100"/>
      <c r="D32" s="12"/>
      <c r="E32" s="12"/>
      <c r="F32" s="12"/>
      <c r="G32" s="12"/>
      <c r="H32" s="12"/>
      <c r="I32" s="12"/>
      <c r="J32" s="12"/>
      <c r="K32" s="12"/>
      <c r="L32" s="12"/>
      <c r="M32" s="65"/>
    </row>
    <row r="33" spans="2:13" ht="14.25" x14ac:dyDescent="0.2">
      <c r="B33" s="140"/>
      <c r="C33" s="148" t="s">
        <v>23</v>
      </c>
      <c r="D33" s="146"/>
      <c r="E33" s="146"/>
      <c r="F33" s="146"/>
      <c r="G33" s="146"/>
      <c r="H33" s="146"/>
      <c r="I33" s="146"/>
      <c r="J33" s="146"/>
      <c r="K33" s="146"/>
      <c r="L33" s="146"/>
      <c r="M33" s="65"/>
    </row>
    <row r="34" spans="2:13" s="131" customFormat="1" ht="33" customHeight="1" x14ac:dyDescent="0.25">
      <c r="B34" s="147"/>
      <c r="C34" s="144" t="s">
        <v>24</v>
      </c>
      <c r="D34" s="163"/>
      <c r="E34" s="878" t="s">
        <v>25</v>
      </c>
      <c r="F34" s="878"/>
      <c r="G34" s="878"/>
      <c r="H34" s="878"/>
      <c r="I34" s="878"/>
      <c r="J34" s="878"/>
      <c r="K34" s="878"/>
      <c r="L34" s="878"/>
      <c r="M34" s="130"/>
    </row>
    <row r="35" spans="2:13" ht="30" customHeight="1" x14ac:dyDescent="0.2">
      <c r="B35" s="140"/>
      <c r="C35" s="12"/>
      <c r="D35" s="12"/>
      <c r="E35" s="878"/>
      <c r="F35" s="878"/>
      <c r="G35" s="878"/>
      <c r="H35" s="878"/>
      <c r="I35" s="878"/>
      <c r="J35" s="878"/>
      <c r="K35" s="878"/>
      <c r="L35" s="878"/>
      <c r="M35" s="65"/>
    </row>
    <row r="36" spans="2:13" x14ac:dyDescent="0.2">
      <c r="B36" s="140"/>
      <c r="C36" s="12"/>
      <c r="D36" s="12"/>
      <c r="E36" s="878"/>
      <c r="F36" s="878"/>
      <c r="G36" s="878"/>
      <c r="H36" s="878"/>
      <c r="I36" s="878"/>
      <c r="J36" s="878"/>
      <c r="K36" s="878"/>
      <c r="L36" s="878"/>
      <c r="M36" s="65"/>
    </row>
    <row r="37" spans="2:13" ht="20.25" customHeight="1" thickBot="1" x14ac:dyDescent="0.25">
      <c r="B37" s="149"/>
      <c r="C37" s="111"/>
      <c r="D37" s="111"/>
      <c r="E37" s="879"/>
      <c r="F37" s="879"/>
      <c r="G37" s="879"/>
      <c r="H37" s="879"/>
      <c r="I37" s="879"/>
      <c r="J37" s="879"/>
      <c r="K37" s="879"/>
      <c r="L37" s="879"/>
      <c r="M37" s="69"/>
    </row>
    <row r="38" spans="2:13" ht="6" customHeight="1" x14ac:dyDescent="0.2"/>
    <row r="39" spans="2:13" x14ac:dyDescent="0.2"/>
  </sheetData>
  <sheetProtection algorithmName="SHA-512" hashValue="TGsCBLFxHcj5nJ2oaXGmP5JP76ZQS9iNYCfQjh2y1zrOpmSlLwzLbAXdzY0tBXxlwrLoMjFQK4nDde/vPEQqwQ==" saltValue="c/rwubHDpXuGK4VXQqMivA==" spinCount="100000" sheet="1" selectLockedCells="1"/>
  <mergeCells count="12">
    <mergeCell ref="E34:L37"/>
    <mergeCell ref="C7:L8"/>
    <mergeCell ref="C10:L10"/>
    <mergeCell ref="C11:L11"/>
    <mergeCell ref="C12:L14"/>
    <mergeCell ref="C9:J9"/>
    <mergeCell ref="C15:L15"/>
    <mergeCell ref="C16:L17"/>
    <mergeCell ref="E25:L25"/>
    <mergeCell ref="C19:L19"/>
    <mergeCell ref="C21:L21"/>
    <mergeCell ref="C22:L22"/>
  </mergeCells>
  <phoneticPr fontId="13" type="noConversion"/>
  <conditionalFormatting sqref="C22:L22">
    <cfRule type="expression" dxfId="138" priority="1">
      <formula>$C$22="Annual Report is complete."</formula>
    </cfRule>
    <cfRule type="expression" dxfId="137" priority="2">
      <formula>$C$22="Annual Report is not complete. Please review the AR Compliace Checklist."</formula>
    </cfRule>
  </conditionalFormatting>
  <pageMargins left="0.7" right="0.7" top="0.75" bottom="0.75" header="0.3" footer="0.3"/>
  <pageSetup scale="93"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'DOER reference'!$B$2:$B$13</xm:f>
          </x14:formula1>
          <xm:sqref>D25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sheetPr>
  <dimension ref="A1:XFC69"/>
  <sheetViews>
    <sheetView showGridLines="0" topLeftCell="B55" zoomScale="110" zoomScaleNormal="110" workbookViewId="0">
      <selection activeCell="G51" sqref="G51"/>
    </sheetView>
  </sheetViews>
  <sheetFormatPr defaultColWidth="8.7109375" defaultRowHeight="12.75" zeroHeight="1" x14ac:dyDescent="0.2"/>
  <cols>
    <col min="1" max="1" width="5.5703125" style="1" customWidth="1"/>
    <col min="2" max="2" width="2.5703125" style="1" customWidth="1"/>
    <col min="3" max="3" width="16.5703125" style="1" customWidth="1"/>
    <col min="4" max="4" width="45.5703125" style="566" customWidth="1"/>
    <col min="5" max="5" width="12.28515625" style="1" customWidth="1"/>
    <col min="6" max="6" width="6.85546875" style="1" hidden="1" customWidth="1"/>
    <col min="7" max="7" width="34.140625" style="566" customWidth="1"/>
    <col min="8" max="8" width="29.5703125" style="562" customWidth="1"/>
    <col min="9" max="9" width="1" style="1" customWidth="1"/>
    <col min="10" max="10" width="5.5703125" style="1" hidden="1" customWidth="1"/>
    <col min="11" max="16383" width="0" style="1" hidden="1" customWidth="1"/>
    <col min="16384" max="16384" width="18.140625" style="1" hidden="1" customWidth="1"/>
  </cols>
  <sheetData>
    <row r="1" spans="1:16" ht="15" customHeight="1" thickBot="1" x14ac:dyDescent="0.25">
      <c r="A1" s="554"/>
      <c r="B1" s="554"/>
      <c r="C1" s="554"/>
      <c r="D1" s="555"/>
      <c r="E1" s="554"/>
      <c r="F1" s="554"/>
      <c r="G1" s="555"/>
      <c r="H1" s="554"/>
      <c r="I1" s="554"/>
      <c r="J1" s="554"/>
    </row>
    <row r="2" spans="1:16" x14ac:dyDescent="0.2">
      <c r="A2" s="554"/>
      <c r="B2" s="229"/>
      <c r="C2" s="230"/>
      <c r="D2" s="556"/>
      <c r="E2" s="230"/>
      <c r="F2" s="230"/>
      <c r="G2" s="556"/>
      <c r="H2" s="557"/>
      <c r="I2" s="233"/>
      <c r="J2" s="554"/>
    </row>
    <row r="3" spans="1:16" ht="15.75" x14ac:dyDescent="0.2">
      <c r="A3" s="554"/>
      <c r="B3" s="234"/>
      <c r="C3" s="514" t="s">
        <v>9</v>
      </c>
      <c r="D3" s="558"/>
      <c r="E3" s="559"/>
      <c r="F3" s="559"/>
      <c r="G3" s="558"/>
      <c r="H3" s="560"/>
      <c r="I3" s="238"/>
      <c r="J3" s="554"/>
    </row>
    <row r="4" spans="1:16" x14ac:dyDescent="0.2">
      <c r="A4" s="554"/>
      <c r="B4" s="234"/>
      <c r="C4" s="526" t="s">
        <v>26</v>
      </c>
      <c r="D4" s="558"/>
      <c r="E4" s="559"/>
      <c r="F4" s="559"/>
      <c r="G4" s="558"/>
      <c r="H4" s="560"/>
      <c r="I4" s="238"/>
      <c r="J4" s="554"/>
    </row>
    <row r="5" spans="1:16" ht="9.9499999999999993" customHeight="1" x14ac:dyDescent="0.2">
      <c r="A5" s="554"/>
      <c r="B5" s="234"/>
      <c r="C5" s="559"/>
      <c r="D5" s="558"/>
      <c r="E5" s="559"/>
      <c r="F5" s="559"/>
      <c r="G5" s="558"/>
      <c r="H5" s="560"/>
      <c r="I5" s="238"/>
      <c r="J5" s="554"/>
    </row>
    <row r="6" spans="1:16" ht="22.5" customHeight="1" x14ac:dyDescent="0.2">
      <c r="A6" s="554"/>
      <c r="B6" s="234"/>
      <c r="C6" s="895" t="s">
        <v>27</v>
      </c>
      <c r="D6" s="895"/>
      <c r="E6" s="895"/>
      <c r="F6" s="895"/>
      <c r="G6" s="895"/>
      <c r="H6" s="895"/>
      <c r="I6" s="518"/>
      <c r="J6" s="548"/>
      <c r="K6" s="505"/>
      <c r="L6" s="505"/>
      <c r="M6" s="505"/>
      <c r="N6" s="505"/>
      <c r="O6" s="505"/>
      <c r="P6" s="505"/>
    </row>
    <row r="7" spans="1:16" ht="15.95" customHeight="1" x14ac:dyDescent="0.2">
      <c r="A7" s="554"/>
      <c r="B7" s="234"/>
      <c r="C7" s="895"/>
      <c r="D7" s="895"/>
      <c r="E7" s="895"/>
      <c r="F7" s="895"/>
      <c r="G7" s="895"/>
      <c r="H7" s="895"/>
      <c r="I7" s="518"/>
      <c r="J7" s="548"/>
      <c r="K7" s="505"/>
      <c r="L7" s="505"/>
      <c r="M7" s="505"/>
      <c r="N7" s="505"/>
      <c r="O7" s="505"/>
      <c r="P7" s="507" t="s">
        <v>28</v>
      </c>
    </row>
    <row r="8" spans="1:16" ht="8.4499999999999993" customHeight="1" x14ac:dyDescent="0.2">
      <c r="A8" s="554"/>
      <c r="B8" s="234"/>
      <c r="C8" s="895"/>
      <c r="D8" s="895"/>
      <c r="E8" s="895"/>
      <c r="F8" s="895"/>
      <c r="G8" s="895"/>
      <c r="H8" s="895"/>
      <c r="I8" s="518"/>
      <c r="J8" s="548"/>
      <c r="K8" s="505"/>
      <c r="L8" s="505"/>
      <c r="M8" s="505"/>
      <c r="N8" s="505"/>
      <c r="O8" s="505"/>
      <c r="P8" s="505" t="s">
        <v>29</v>
      </c>
    </row>
    <row r="9" spans="1:16" ht="6.6" customHeight="1" x14ac:dyDescent="0.2">
      <c r="A9" s="554"/>
      <c r="B9" s="234"/>
      <c r="C9" s="559"/>
      <c r="D9" s="558"/>
      <c r="E9" s="559"/>
      <c r="F9" s="559"/>
      <c r="G9" s="558"/>
      <c r="H9" s="560"/>
      <c r="I9" s="238"/>
      <c r="J9" s="554"/>
      <c r="P9" s="1" t="s">
        <v>30</v>
      </c>
    </row>
    <row r="10" spans="1:16" x14ac:dyDescent="0.2">
      <c r="A10" s="554"/>
      <c r="B10" s="234"/>
      <c r="C10" s="894" t="s">
        <v>31</v>
      </c>
      <c r="D10" s="894"/>
      <c r="E10" s="894"/>
      <c r="F10" s="894"/>
      <c r="G10" s="894"/>
      <c r="H10" s="894"/>
      <c r="I10" s="238"/>
      <c r="J10" s="554"/>
    </row>
    <row r="11" spans="1:16" ht="25.5" x14ac:dyDescent="0.2">
      <c r="A11" s="554"/>
      <c r="B11" s="234"/>
      <c r="C11" s="602" t="s">
        <v>656</v>
      </c>
      <c r="D11" s="900" t="str">
        <f>IF(SUM($F$13:$F$66)&gt;0,"Annual Report is not complete. Please complete missing items or provide explenations.","Annual Report is complete")</f>
        <v>Annual Report is complete</v>
      </c>
      <c r="E11" s="901"/>
      <c r="F11" s="901"/>
      <c r="G11" s="901"/>
      <c r="H11" s="902"/>
      <c r="I11" s="238"/>
      <c r="J11" s="554"/>
    </row>
    <row r="12" spans="1:16" x14ac:dyDescent="0.2">
      <c r="A12" s="554"/>
      <c r="B12" s="234"/>
      <c r="C12" s="506" t="s">
        <v>32</v>
      </c>
      <c r="D12" s="510" t="s">
        <v>33</v>
      </c>
      <c r="E12" s="506" t="s">
        <v>34</v>
      </c>
      <c r="F12" s="506"/>
      <c r="G12" s="510" t="s">
        <v>35</v>
      </c>
      <c r="H12" s="506" t="s">
        <v>36</v>
      </c>
      <c r="I12" s="238"/>
      <c r="J12" s="554"/>
    </row>
    <row r="13" spans="1:16" x14ac:dyDescent="0.2">
      <c r="A13" s="554"/>
      <c r="B13" s="234"/>
      <c r="C13" s="896" t="s">
        <v>37</v>
      </c>
      <c r="D13" s="561" t="s">
        <v>38</v>
      </c>
      <c r="E13" s="527" t="str">
        <f>IF('Crit 1 &amp; 2'!H4="","Missing","Complete")</f>
        <v>Complete</v>
      </c>
      <c r="F13" s="527">
        <f>IF(AND(E13="Missing",H13=""),1,0)</f>
        <v>0</v>
      </c>
      <c r="G13" s="553" t="str">
        <f>IF(E13="MISSING","Please select an option from the drop down in cell H4","")</f>
        <v/>
      </c>
      <c r="H13" s="603"/>
      <c r="I13" s="238"/>
      <c r="J13" s="554"/>
    </row>
    <row r="14" spans="1:16" x14ac:dyDescent="0.2">
      <c r="A14" s="554"/>
      <c r="B14" s="234"/>
      <c r="C14" s="896"/>
      <c r="D14" s="561" t="s">
        <v>39</v>
      </c>
      <c r="E14" s="527" t="str">
        <f>IF('Crit 1 &amp; 2'!H6="","Missing","Complete")</f>
        <v>Complete</v>
      </c>
      <c r="F14" s="527">
        <f t="shared" ref="F14:F66" si="0">IF(AND(E14="Missing",H14=""),1,0)</f>
        <v>0</v>
      </c>
      <c r="G14" s="553" t="str">
        <f>IF(E14="MISSING","Please select an option from the drop down in cell H6","")</f>
        <v/>
      </c>
      <c r="H14" s="603"/>
      <c r="I14" s="238"/>
      <c r="J14" s="554"/>
    </row>
    <row r="15" spans="1:16" ht="38.25" x14ac:dyDescent="0.2">
      <c r="A15" s="554"/>
      <c r="B15" s="234"/>
      <c r="C15" s="896"/>
      <c r="D15" s="561" t="s">
        <v>40</v>
      </c>
      <c r="E15" s="527" t="str">
        <f>IF(OR('Crit 1 &amp; 2'!L8="&lt;Select YES or NO&gt;",'Crit 1 &amp; 2'!L8=""),"Missing","Complete")</f>
        <v>Complete</v>
      </c>
      <c r="F15" s="527">
        <f t="shared" si="0"/>
        <v>0</v>
      </c>
      <c r="G15" s="553" t="str">
        <f>IF(E15="MISSING","Please select yes or no in cell L8","")</f>
        <v/>
      </c>
      <c r="H15" s="603"/>
      <c r="I15" s="238"/>
      <c r="J15" s="554"/>
    </row>
    <row r="16" spans="1:16" ht="63.75" x14ac:dyDescent="0.2">
      <c r="A16" s="554"/>
      <c r="B16" s="234"/>
      <c r="C16" s="896"/>
      <c r="D16" s="561" t="s">
        <v>41</v>
      </c>
      <c r="E16" s="527" t="str">
        <f>IF(OR('Crit 1 &amp; 2'!L10="&lt;Select YES or NO&gt;",'Crit 1 &amp; 2'!L10=""),"Missing","Complete")</f>
        <v>Complete</v>
      </c>
      <c r="F16" s="527">
        <f t="shared" si="0"/>
        <v>0</v>
      </c>
      <c r="G16" s="553" t="str">
        <f>IF(E16="MISSING","Please select yes or no in cell L10","")</f>
        <v/>
      </c>
      <c r="H16" s="603"/>
      <c r="I16" s="238"/>
      <c r="J16" s="554"/>
    </row>
    <row r="17" spans="1:10" ht="76.5" x14ac:dyDescent="0.2">
      <c r="A17" s="554"/>
      <c r="B17" s="234"/>
      <c r="C17" s="896"/>
      <c r="D17" s="561" t="s">
        <v>42</v>
      </c>
      <c r="E17" s="527" t="str">
        <f>IF(OR('Crit 1 &amp; 2'!L16="&lt;Select YES or NO&gt;",'Crit 1 &amp; 2'!L16=""),"Missing","Complete")</f>
        <v>Complete</v>
      </c>
      <c r="F17" s="527">
        <f t="shared" si="0"/>
        <v>0</v>
      </c>
      <c r="G17" s="553" t="str">
        <f>IF(E17="MISSING","Please select yes or no in cell L16","")</f>
        <v/>
      </c>
      <c r="H17" s="603"/>
      <c r="I17" s="238"/>
      <c r="J17" s="554"/>
    </row>
    <row r="18" spans="1:10" x14ac:dyDescent="0.2">
      <c r="A18" s="554"/>
      <c r="B18" s="234"/>
      <c r="C18" s="896"/>
      <c r="D18" s="561" t="s">
        <v>43</v>
      </c>
      <c r="E18" s="527" t="str">
        <f>IF(AND('Crit 1 &amp; 2'!L16="Yes",'Crit 1 &amp; 2'!C23=""),"Missing","Complete")</f>
        <v>Complete</v>
      </c>
      <c r="F18" s="527">
        <f t="shared" si="0"/>
        <v>0</v>
      </c>
      <c r="G18" s="553" t="str">
        <f>IF(E18="Missing","Please complete Table 1","")</f>
        <v/>
      </c>
      <c r="H18" s="603"/>
      <c r="I18" s="238"/>
      <c r="J18" s="554"/>
    </row>
    <row r="19" spans="1:10" ht="14.1" customHeight="1" x14ac:dyDescent="0.2">
      <c r="A19" s="554"/>
      <c r="B19" s="234"/>
      <c r="C19" s="897" t="s">
        <v>44</v>
      </c>
      <c r="D19" s="561" t="s">
        <v>45</v>
      </c>
      <c r="E19" s="527" t="str">
        <f>IF('Crit 3 - Overview'!L15='AR Compliance Checklist'!$P$7,"Missing","Complete")</f>
        <v>Complete</v>
      </c>
      <c r="F19" s="527">
        <f t="shared" si="0"/>
        <v>0</v>
      </c>
      <c r="G19" s="553" t="str">
        <f>IF(E19="MISSING","Please select yes or no in cell L15","")</f>
        <v/>
      </c>
      <c r="H19" s="604"/>
      <c r="I19" s="238"/>
      <c r="J19" s="554"/>
    </row>
    <row r="20" spans="1:10" ht="24.95" customHeight="1" x14ac:dyDescent="0.2">
      <c r="A20" s="554"/>
      <c r="B20" s="234"/>
      <c r="C20" s="898"/>
      <c r="D20" s="561" t="s">
        <v>46</v>
      </c>
      <c r="E20" s="527" t="str">
        <f>IF(AND('Crit 3 - Overview'!L15="Yes",'Crit 3 - Overview'!L16=""),"Missing","Complete")</f>
        <v>Complete</v>
      </c>
      <c r="F20" s="527">
        <f t="shared" si="0"/>
        <v>0</v>
      </c>
      <c r="G20" s="553" t="str">
        <f>IF(E20="MISSING","Please enter the RSD name in cell L16","")</f>
        <v/>
      </c>
      <c r="H20" s="604"/>
      <c r="I20" s="238"/>
      <c r="J20" s="554"/>
    </row>
    <row r="21" spans="1:10" ht="12.6" customHeight="1" x14ac:dyDescent="0.2">
      <c r="A21" s="554"/>
      <c r="B21" s="234"/>
      <c r="C21" s="898"/>
      <c r="D21" s="561" t="s">
        <v>47</v>
      </c>
      <c r="E21" s="527" t="str">
        <f>IF(AND('Crit 3 - Overview'!$L$15="Yes",'Crit 3 - Overview'!L17=""),"Missing","Complete")</f>
        <v>Complete</v>
      </c>
      <c r="F21" s="527">
        <f t="shared" si="0"/>
        <v>0</v>
      </c>
      <c r="G21" s="553" t="str">
        <f>IF(E21="MISSING","Please select Percentage or Buildings in cell L17","")</f>
        <v/>
      </c>
      <c r="H21" s="604"/>
      <c r="I21" s="238"/>
      <c r="J21" s="554"/>
    </row>
    <row r="22" spans="1:10" x14ac:dyDescent="0.2">
      <c r="A22" s="554"/>
      <c r="B22" s="234"/>
      <c r="C22" s="898"/>
      <c r="D22" s="561" t="s">
        <v>48</v>
      </c>
      <c r="E22" s="527" t="str">
        <f>IF(AND('Crit 3 - Overview'!$L$15="Yes",'Crit 3 - Overview'!L18=""),"Missing","Complete")</f>
        <v>Complete</v>
      </c>
      <c r="F22" s="527">
        <f t="shared" si="0"/>
        <v>0</v>
      </c>
      <c r="G22" s="553" t="str">
        <f>IF(E22="MISSING","Please enter a value in cell L18","")</f>
        <v/>
      </c>
      <c r="H22" s="604"/>
      <c r="I22" s="238"/>
      <c r="J22" s="554"/>
    </row>
    <row r="23" spans="1:10" ht="24.95" customHeight="1" x14ac:dyDescent="0.2">
      <c r="A23" s="554"/>
      <c r="B23" s="234"/>
      <c r="C23" s="898"/>
      <c r="D23" s="712" t="s">
        <v>49</v>
      </c>
      <c r="E23" s="527" t="str">
        <f>IF('Crit 3 - Overview'!L22='AR Compliance Checklist'!$P$7,"Missing","Complete")</f>
        <v>Complete</v>
      </c>
      <c r="F23" s="527">
        <f t="shared" si="0"/>
        <v>0</v>
      </c>
      <c r="G23" s="553" t="str">
        <f>IF(E23="MISSING","Please select yes or no in cell L22","")</f>
        <v/>
      </c>
      <c r="H23" s="603"/>
      <c r="I23" s="238"/>
      <c r="J23" s="554"/>
    </row>
    <row r="24" spans="1:10" x14ac:dyDescent="0.2">
      <c r="A24" s="554"/>
      <c r="B24" s="234"/>
      <c r="C24" s="898"/>
      <c r="D24" s="712" t="s">
        <v>50</v>
      </c>
      <c r="E24" s="527" t="str">
        <f>IF(AND('Crit 3 - Overview'!L22="YES",'Crit 3 - Overview'!L23=""),"Missing","Complete")</f>
        <v>Complete</v>
      </c>
      <c r="F24" s="527">
        <f t="shared" si="0"/>
        <v>0</v>
      </c>
      <c r="G24" s="553" t="str">
        <f>IF(E24="MISSING","Please enter a date in cell L23","")</f>
        <v/>
      </c>
      <c r="H24" s="603"/>
      <c r="I24" s="238"/>
      <c r="J24" s="554"/>
    </row>
    <row r="25" spans="1:10" x14ac:dyDescent="0.2">
      <c r="A25" s="554"/>
      <c r="B25" s="234"/>
      <c r="C25" s="898"/>
      <c r="D25" s="561" t="s">
        <v>51</v>
      </c>
      <c r="E25" s="527" t="str">
        <f>IF('Crit 3 - Overview'!L29='AR Compliance Checklist'!$P$7,"Missing","Complete")</f>
        <v>Complete</v>
      </c>
      <c r="F25" s="527">
        <f t="shared" si="0"/>
        <v>0</v>
      </c>
      <c r="G25" s="553" t="str">
        <f>IF(E25="MISSING","Please select yes or no in cell L29","")</f>
        <v/>
      </c>
      <c r="H25" s="603"/>
      <c r="I25" s="238"/>
      <c r="J25" s="554"/>
    </row>
    <row r="26" spans="1:10" x14ac:dyDescent="0.2">
      <c r="A26" s="554"/>
      <c r="B26" s="234"/>
      <c r="C26" s="898"/>
      <c r="D26" s="561" t="s">
        <v>52</v>
      </c>
      <c r="E26" s="527" t="str">
        <f>IF(AND('Crit 3 - Overview'!L29="Yes",'Crit 3 - Overview'!L31=""),"Missing","Complete")</f>
        <v>Complete</v>
      </c>
      <c r="F26" s="527">
        <f t="shared" si="0"/>
        <v>0</v>
      </c>
      <c r="G26" s="553" t="str">
        <f>IF(E26="MISSING","Please enter a date in cell L31","")</f>
        <v/>
      </c>
      <c r="H26" s="603"/>
      <c r="I26" s="238"/>
      <c r="J26" s="554"/>
    </row>
    <row r="27" spans="1:10" ht="25.5" x14ac:dyDescent="0.2">
      <c r="A27" s="554"/>
      <c r="B27" s="234"/>
      <c r="C27" s="898"/>
      <c r="D27" s="561" t="s">
        <v>53</v>
      </c>
      <c r="E27" s="527" t="str">
        <f>IF('Crit 3 - Overview'!L34='AR Compliance Checklist'!$P$7,"Missing","Complete")</f>
        <v>Complete</v>
      </c>
      <c r="F27" s="527">
        <f t="shared" si="0"/>
        <v>0</v>
      </c>
      <c r="G27" s="553" t="str">
        <f>IF(E27="MISSING","Please select yes or no in cell L34","")</f>
        <v/>
      </c>
      <c r="H27" s="603"/>
      <c r="I27" s="238"/>
      <c r="J27" s="554"/>
    </row>
    <row r="28" spans="1:10" x14ac:dyDescent="0.2">
      <c r="A28" s="554"/>
      <c r="B28" s="234"/>
      <c r="C28" s="898"/>
      <c r="D28" s="561" t="s">
        <v>54</v>
      </c>
      <c r="E28" s="527" t="str">
        <f>IF('Crit 3 - Overview'!E43="","Missing","Complete")</f>
        <v>Complete</v>
      </c>
      <c r="F28" s="527">
        <f t="shared" si="0"/>
        <v>0</v>
      </c>
      <c r="G28" s="553" t="str">
        <f>IF(E28="MISSING","Please provide a narrative for #6","")</f>
        <v/>
      </c>
      <c r="H28" s="603"/>
      <c r="I28" s="238"/>
      <c r="J28" s="554"/>
    </row>
    <row r="29" spans="1:10" ht="25.5" x14ac:dyDescent="0.2">
      <c r="A29" s="554"/>
      <c r="B29" s="234"/>
      <c r="C29" s="898"/>
      <c r="D29" s="561" t="s">
        <v>55</v>
      </c>
      <c r="E29" s="527" t="str">
        <f>IF('Crit 3 - Overview'!L51='AR Compliance Checklist'!$P$7,"Missing","Complete")</f>
        <v>Complete</v>
      </c>
      <c r="F29" s="527">
        <f t="shared" si="0"/>
        <v>0</v>
      </c>
      <c r="G29" s="553" t="str">
        <f>IF(E29="MISSING","Please select yes or no in cell L51","")</f>
        <v/>
      </c>
      <c r="H29" s="603"/>
      <c r="I29" s="238"/>
      <c r="J29" s="554"/>
    </row>
    <row r="30" spans="1:10" ht="25.5" x14ac:dyDescent="0.2">
      <c r="A30" s="554"/>
      <c r="B30" s="234"/>
      <c r="C30" s="898"/>
      <c r="D30" s="561" t="s">
        <v>56</v>
      </c>
      <c r="E30" s="527" t="str">
        <f>IF('Crit 3 - Overview'!L53='AR Compliance Checklist'!$P$7,"Missing","Complete")</f>
        <v>Complete</v>
      </c>
      <c r="F30" s="527">
        <f t="shared" si="0"/>
        <v>0</v>
      </c>
      <c r="G30" s="553" t="str">
        <f>IF(E30="MISSING","Please select yes or no in cell L53","")</f>
        <v/>
      </c>
      <c r="H30" s="603"/>
      <c r="I30" s="238"/>
      <c r="J30" s="554"/>
    </row>
    <row r="31" spans="1:10" ht="15.6" customHeight="1" x14ac:dyDescent="0.2">
      <c r="A31" s="554"/>
      <c r="B31" s="234"/>
      <c r="C31" s="899"/>
      <c r="D31" s="561" t="s">
        <v>57</v>
      </c>
      <c r="E31" s="527" t="str">
        <f>IF(AND('Crit 3 - Overview'!L53="Yes",'Crit 3 - Overview'!E56=""),"Missing","Complete")</f>
        <v>Complete</v>
      </c>
      <c r="F31" s="527">
        <f t="shared" si="0"/>
        <v>0</v>
      </c>
      <c r="G31" s="553" t="str">
        <f>IF(E31="MISSING","Please provide a narrative for #7","")</f>
        <v/>
      </c>
      <c r="H31" s="603"/>
      <c r="I31" s="238"/>
      <c r="J31" s="554"/>
    </row>
    <row r="32" spans="1:10" ht="47.1" customHeight="1" x14ac:dyDescent="0.2">
      <c r="A32" s="554"/>
      <c r="B32" s="234"/>
      <c r="C32" s="552" t="s">
        <v>58</v>
      </c>
      <c r="D32" s="561" t="s">
        <v>59</v>
      </c>
      <c r="E32" s="527" t="str">
        <f>IF(AND('Crit 3 - Overview'!L51="Yes",'Building Stock Change Calculato'!D13="BUILDING ONE"),"Missing","Complete")</f>
        <v>Complete</v>
      </c>
      <c r="F32" s="527">
        <f t="shared" si="0"/>
        <v>0</v>
      </c>
      <c r="G32" s="553" t="str">
        <f>IF(E32="MISSING","Please complete the building stock change calculator","")</f>
        <v/>
      </c>
      <c r="H32" s="603"/>
      <c r="I32" s="238"/>
      <c r="J32" s="554"/>
    </row>
    <row r="33" spans="1:10" ht="25.5" x14ac:dyDescent="0.2">
      <c r="A33" s="554"/>
      <c r="B33" s="234"/>
      <c r="C33" s="891" t="s">
        <v>60</v>
      </c>
      <c r="D33" s="561" t="s">
        <v>61</v>
      </c>
      <c r="E33" s="527" t="str">
        <f>IF('Crit 3 - Table  2 Progress'!H6="Select CY or FY","Missing","Complete")</f>
        <v>Complete</v>
      </c>
      <c r="F33" s="527">
        <f t="shared" si="0"/>
        <v>0</v>
      </c>
      <c r="G33" s="553" t="str">
        <f>IF(E33="MISSING","Please select CY or FY in cell H6","")</f>
        <v/>
      </c>
      <c r="H33" s="603"/>
      <c r="I33" s="238"/>
      <c r="J33" s="554"/>
    </row>
    <row r="34" spans="1:10" x14ac:dyDescent="0.2">
      <c r="A34" s="554"/>
      <c r="B34" s="234"/>
      <c r="C34" s="893"/>
      <c r="D34" s="561" t="s">
        <v>62</v>
      </c>
      <c r="E34" s="527" t="str">
        <f>IF('Crit 3 - Table  2 Progress'!D10="","Missing","Complete")</f>
        <v>Complete</v>
      </c>
      <c r="F34" s="527">
        <f t="shared" si="0"/>
        <v>0</v>
      </c>
      <c r="G34" s="553" t="str">
        <f>IF(E34="MISSING","Please enter the baseline year in cell D10","")</f>
        <v/>
      </c>
      <c r="H34" s="603"/>
      <c r="I34" s="238"/>
      <c r="J34" s="554"/>
    </row>
    <row r="35" spans="1:10" x14ac:dyDescent="0.2">
      <c r="A35" s="554"/>
      <c r="B35" s="234"/>
      <c r="C35" s="893"/>
      <c r="D35" s="561" t="s">
        <v>63</v>
      </c>
      <c r="E35" s="527" t="str">
        <f>IF(AND('Crit 3 - Overview'!L51="Yes",OR('Crit 3 - Table  2 Progress'!G17=0,'Crit 3 - Table  2 Progress'!G17="")),"Missing","Complete")</f>
        <v>Complete</v>
      </c>
      <c r="F35" s="527">
        <f t="shared" si="0"/>
        <v>0</v>
      </c>
      <c r="G35" s="553" t="str">
        <f>IF(E35="MISSING","Please complete the building stock change calculator","")</f>
        <v/>
      </c>
      <c r="H35" s="603"/>
      <c r="I35" s="238"/>
      <c r="J35" s="554"/>
    </row>
    <row r="36" spans="1:10" x14ac:dyDescent="0.2">
      <c r="A36" s="554"/>
      <c r="B36" s="234"/>
      <c r="C36" s="893"/>
      <c r="D36" s="561" t="s">
        <v>64</v>
      </c>
      <c r="E36" s="527" t="str">
        <f>IF(AND('Crit 3 - Overview'!L15="Yes",OR('Crit 3 - Table  2 Progress'!D18="",'Crit 3 - Table  2 Progress'!D18=0)),"Missing","Complete")</f>
        <v>Complete</v>
      </c>
      <c r="F36" s="527">
        <f t="shared" si="0"/>
        <v>0</v>
      </c>
      <c r="G36" s="553" t="str">
        <f>IF(E36="MISSING","Please enter the prorated RSD energy consumption for the baseline year in cell D18","")</f>
        <v/>
      </c>
      <c r="H36" s="603"/>
      <c r="I36" s="238"/>
      <c r="J36" s="554"/>
    </row>
    <row r="37" spans="1:10" ht="36.950000000000003" customHeight="1" x14ac:dyDescent="0.2">
      <c r="A37" s="554"/>
      <c r="B37" s="234"/>
      <c r="C37" s="893"/>
      <c r="D37" s="561" t="s">
        <v>65</v>
      </c>
      <c r="E37" s="527" t="str">
        <f>IF(AND('Crit 3 - Overview'!L15="Yes",OR('Crit 3 - Table  2 Progress'!G18="",'Crit 3 - Table  2 Progress'!G18=0)),"Missing","Complete")</f>
        <v>Complete</v>
      </c>
      <c r="F37" s="527">
        <f t="shared" si="0"/>
        <v>0</v>
      </c>
      <c r="G37" s="553" t="str">
        <f>IF(E37="MISSING","Please enter the prorated RSD energy consumption for the current year in cell G18","")</f>
        <v/>
      </c>
      <c r="H37" s="603"/>
      <c r="I37" s="238"/>
      <c r="J37" s="554"/>
    </row>
    <row r="38" spans="1:10" ht="25.5" x14ac:dyDescent="0.2">
      <c r="A38" s="554"/>
      <c r="B38" s="234"/>
      <c r="C38" s="893"/>
      <c r="D38" s="561" t="s">
        <v>66</v>
      </c>
      <c r="E38" s="527" t="str">
        <f>IF(OR('Crit 3 - Table  2 Progress'!D19="",'Crit 3 - Table  2 Progress'!D19=0),"Missing","Complete")</f>
        <v>Complete</v>
      </c>
      <c r="F38" s="527">
        <f t="shared" si="0"/>
        <v>0</v>
      </c>
      <c r="G38" s="553" t="str">
        <f>IF(E38="MISSING","Please enter all energy consumption for the baseline year in Table 2","")</f>
        <v/>
      </c>
      <c r="H38" s="603"/>
      <c r="I38" s="238"/>
      <c r="J38" s="554"/>
    </row>
    <row r="39" spans="1:10" ht="25.5" x14ac:dyDescent="0.2">
      <c r="A39" s="554"/>
      <c r="B39" s="234"/>
      <c r="C39" s="893"/>
      <c r="D39" s="561" t="s">
        <v>67</v>
      </c>
      <c r="E39" s="527" t="str">
        <f>IF(OR('Crit 3 - Table  2 Progress'!G19="",'Crit 3 - Table  2 Progress'!G19=0),"Missing","Complete")</f>
        <v>Complete</v>
      </c>
      <c r="F39" s="527">
        <f t="shared" si="0"/>
        <v>0</v>
      </c>
      <c r="G39" s="553" t="str">
        <f>IF(E39="MISSING","Please enter all energy consumption for the current year in Table 2","")</f>
        <v/>
      </c>
      <c r="H39" s="603"/>
      <c r="I39" s="238"/>
      <c r="J39" s="554"/>
    </row>
    <row r="40" spans="1:10" ht="25.5" x14ac:dyDescent="0.2">
      <c r="A40" s="554"/>
      <c r="B40" s="234"/>
      <c r="C40" s="893"/>
      <c r="D40" s="561" t="s">
        <v>68</v>
      </c>
      <c r="E40" s="527" t="str">
        <f>IF(OR('Crit 3 - Table  2 Progress'!D20="",'Crit 3 - Table  2 Progress'!D20=0),"Missing","Complete")</f>
        <v>Complete</v>
      </c>
      <c r="F40" s="527">
        <f t="shared" si="0"/>
        <v>0</v>
      </c>
      <c r="G40" s="553" t="str">
        <f>IF(E40="MISSING","Please enter the total weather normalized energy consumption for the baseline year in cell D20","")</f>
        <v/>
      </c>
      <c r="H40" s="603"/>
      <c r="I40" s="238"/>
      <c r="J40" s="554"/>
    </row>
    <row r="41" spans="1:10" ht="25.5" x14ac:dyDescent="0.2">
      <c r="A41" s="554"/>
      <c r="B41" s="234"/>
      <c r="C41" s="893"/>
      <c r="D41" s="561" t="s">
        <v>69</v>
      </c>
      <c r="E41" s="527" t="str">
        <f>IF(OR('Crit 3 - Table  2 Progress'!G20="",'Crit 3 - Table  2 Progress'!G20=0),"Missing","Complete")</f>
        <v>Complete</v>
      </c>
      <c r="F41" s="527">
        <f t="shared" si="0"/>
        <v>0</v>
      </c>
      <c r="G41" s="553" t="str">
        <f>IF(E41="MISSING","Please enter the total weather normalized energy consumption for the current year in cell G20","")</f>
        <v/>
      </c>
      <c r="H41" s="603"/>
      <c r="I41" s="238"/>
      <c r="J41" s="554"/>
    </row>
    <row r="42" spans="1:10" ht="25.5" x14ac:dyDescent="0.2">
      <c r="A42" s="554"/>
      <c r="B42" s="234"/>
      <c r="C42" s="893"/>
      <c r="D42" s="561" t="s">
        <v>70</v>
      </c>
      <c r="E42" s="527" t="str">
        <f>IF(AND('Crit 3 - Overview'!L51="Yes",OR('Crit 3 - Table  2 Progress'!G21=0,'Crit 3 - Table  2 Progress'!G21="")),"Missing","Complete")</f>
        <v>Complete</v>
      </c>
      <c r="F42" s="527">
        <f t="shared" si="0"/>
        <v>0</v>
      </c>
      <c r="G42" s="553" t="str">
        <f>IF(E42="MISSING","Please complete the building stock change calculator","")</f>
        <v/>
      </c>
      <c r="H42" s="603"/>
      <c r="I42" s="238"/>
      <c r="J42" s="554"/>
    </row>
    <row r="43" spans="1:10" ht="25.5" x14ac:dyDescent="0.2">
      <c r="A43" s="554"/>
      <c r="B43" s="234"/>
      <c r="C43" s="893"/>
      <c r="D43" s="561" t="s">
        <v>71</v>
      </c>
      <c r="E43" s="527" t="str">
        <f>IF(AND('Crit 3 - Overview'!L15="Yes",OR('Crit 3 - Table  2 Progress'!D22="",'Crit 3 - Table  2 Progress'!D22=0)),"Missing","Complete")</f>
        <v>Complete</v>
      </c>
      <c r="F43" s="527">
        <f t="shared" si="0"/>
        <v>0</v>
      </c>
      <c r="G43" s="553" t="str">
        <f>IF(E43="MISSING","Please enter the weather normalized prorated RSD energy consumption for the baseline year in cell D22","")</f>
        <v/>
      </c>
      <c r="H43" s="603"/>
      <c r="I43" s="238"/>
      <c r="J43" s="554"/>
    </row>
    <row r="44" spans="1:10" ht="25.5" x14ac:dyDescent="0.2">
      <c r="A44" s="554"/>
      <c r="B44" s="234"/>
      <c r="C44" s="892"/>
      <c r="D44" s="561" t="s">
        <v>72</v>
      </c>
      <c r="E44" s="527" t="str">
        <f>IF(AND('Crit 3 - Overview'!L15="Yes",OR('Crit 3 - Table  2 Progress'!G22="",'Crit 3 - Table  2 Progress'!G22=0)),"Missing","Complete")</f>
        <v>Complete</v>
      </c>
      <c r="F44" s="527">
        <f t="shared" si="0"/>
        <v>0</v>
      </c>
      <c r="G44" s="553" t="str">
        <f>IF(E44="MISSING","Please enter the weather normalized prorated RSD energy consumption for the current year in cell G22","")</f>
        <v/>
      </c>
      <c r="H44" s="603"/>
      <c r="I44" s="238"/>
      <c r="J44" s="554"/>
    </row>
    <row r="45" spans="1:10" ht="24.95" customHeight="1" x14ac:dyDescent="0.2">
      <c r="A45" s="554"/>
      <c r="B45" s="234"/>
      <c r="C45" s="891" t="s">
        <v>73</v>
      </c>
      <c r="D45" s="561" t="s">
        <v>74</v>
      </c>
      <c r="E45" s="527" t="str">
        <f>IF(AND('Crit 3 - Overview'!L22="No",'Crit 3 -Tbl 3 for Non-MEI Users'!D5="&lt;Select Year&gt;"),"Missing","Complete")</f>
        <v>Complete</v>
      </c>
      <c r="F45" s="527">
        <f t="shared" si="0"/>
        <v>0</v>
      </c>
      <c r="G45" s="553" t="str">
        <f>IF(E45="MISSING","Please select a plan year in cell D5","")</f>
        <v/>
      </c>
      <c r="H45" s="603"/>
      <c r="I45" s="238"/>
      <c r="J45" s="554"/>
    </row>
    <row r="46" spans="1:10" x14ac:dyDescent="0.2">
      <c r="A46" s="554"/>
      <c r="B46" s="234"/>
      <c r="C46" s="893"/>
      <c r="D46" s="561" t="s">
        <v>75</v>
      </c>
      <c r="E46" s="527" t="str">
        <f>IF('Crit 3 - Overview'!L22="Yes","Complete",(IF(OR('Crit 3 -Tbl 3 for Non-MEI Users'!T14=0,'Crit 3 -Tbl 3 for Non-MEI Users'!T14=""),"Missing","Complete")))</f>
        <v>Complete</v>
      </c>
      <c r="F46" s="527">
        <f t="shared" si="0"/>
        <v>0</v>
      </c>
      <c r="G46" s="553" t="str">
        <f>IF(E46="MISSING","Please enter all building energy use in Table 3","")</f>
        <v/>
      </c>
      <c r="H46" s="603"/>
      <c r="I46" s="238"/>
      <c r="J46" s="554"/>
    </row>
    <row r="47" spans="1:10" x14ac:dyDescent="0.2">
      <c r="A47" s="554"/>
      <c r="B47" s="234"/>
      <c r="C47" s="892"/>
      <c r="D47" s="561" t="s">
        <v>76</v>
      </c>
      <c r="E47" s="527" t="str">
        <f>IF('Crit 3 - Overview'!L22="Yes","Complete",(IF(OR('Crit 3 -Tbl 3 for Non-MEI Users'!T20=0,'Crit 3 -Tbl 3 for Non-MEI Users'!T20=""),"Missing","Complete")))</f>
        <v>Complete</v>
      </c>
      <c r="F47" s="527">
        <f t="shared" si="0"/>
        <v>0</v>
      </c>
      <c r="G47" s="553" t="str">
        <f>IF(E47="MISSING","Please enter all energy use in Table 3","")</f>
        <v/>
      </c>
      <c r="H47" s="603"/>
      <c r="I47" s="238"/>
      <c r="J47" s="554"/>
    </row>
    <row r="48" spans="1:10" ht="25.5" x14ac:dyDescent="0.2">
      <c r="A48" s="554"/>
      <c r="B48" s="234"/>
      <c r="C48" s="551" t="s">
        <v>77</v>
      </c>
      <c r="D48" s="712" t="s">
        <v>78</v>
      </c>
      <c r="E48" s="527" t="str">
        <f>IF('Crit 3 - Table 4 ECMs'!D8="","Missing","Complete")</f>
        <v>Complete</v>
      </c>
      <c r="F48" s="527">
        <f t="shared" si="0"/>
        <v>0</v>
      </c>
      <c r="G48" s="553" t="str">
        <f>IF(E48="MISSING","Please complete Table 4","")</f>
        <v/>
      </c>
      <c r="H48" s="603"/>
      <c r="I48" s="238"/>
      <c r="J48" s="554"/>
    </row>
    <row r="49" spans="1:10" ht="25.5" x14ac:dyDescent="0.2">
      <c r="A49" s="554"/>
      <c r="B49" s="234"/>
      <c r="C49" s="551" t="s">
        <v>79</v>
      </c>
      <c r="D49" s="561" t="s">
        <v>80</v>
      </c>
      <c r="E49" s="527" t="str">
        <f>IF(AND('Crit 3 - Overview'!L34="Yes",OR('Crit 3 - Table 5 RE'!C8="",'Crit 3 - Table 5 RE'!C8="Sample Data - City Hall ")),"Missing","Complete")</f>
        <v>Missing</v>
      </c>
      <c r="F49" s="527">
        <f t="shared" si="0"/>
        <v>0</v>
      </c>
      <c r="G49" s="553" t="str">
        <f>IF(E49="MISSING","Please complete Table 5","")</f>
        <v>Please complete Table 5</v>
      </c>
      <c r="H49" s="603" t="s">
        <v>849</v>
      </c>
      <c r="I49" s="238"/>
      <c r="J49" s="554"/>
    </row>
    <row r="50" spans="1:10" ht="24.95" customHeight="1" x14ac:dyDescent="0.2">
      <c r="A50" s="554"/>
      <c r="B50" s="234"/>
      <c r="C50" s="891" t="s">
        <v>81</v>
      </c>
      <c r="D50" s="561" t="s">
        <v>82</v>
      </c>
      <c r="E50" s="527" t="str">
        <f>IF(OR('Crit 4 - Vehicle Policies'!K5="",'Crit 4 - Vehicle Policies'!K5="&lt;Select YES or NO&gt;"),"Missing","Complete")</f>
        <v>Complete</v>
      </c>
      <c r="F50" s="527">
        <f t="shared" si="0"/>
        <v>0</v>
      </c>
      <c r="G50" s="553" t="str">
        <f>IF(E50="MISSING","Please select a value from the drop down in cell K5","")</f>
        <v/>
      </c>
      <c r="H50" s="603"/>
      <c r="I50" s="238"/>
      <c r="J50" s="554"/>
    </row>
    <row r="51" spans="1:10" ht="38.25" x14ac:dyDescent="0.2">
      <c r="A51" s="554"/>
      <c r="B51" s="234"/>
      <c r="C51" s="893"/>
      <c r="D51" s="561" t="s">
        <v>83</v>
      </c>
      <c r="E51" s="527" t="str">
        <f>IF(OR('Crit 4 - Vehicle Policies'!K7="",'Crit 4 - Vehicle Policies'!K7="&lt;Select YES or NO&gt;"),"Missing","Complete")</f>
        <v>Complete</v>
      </c>
      <c r="F51" s="527">
        <f t="shared" si="0"/>
        <v>0</v>
      </c>
      <c r="G51" s="553" t="str">
        <f>IF(E51="MISSING","Please select a value from the drop down in cell K7","")</f>
        <v/>
      </c>
      <c r="H51" s="603"/>
      <c r="I51" s="238"/>
      <c r="J51" s="554"/>
    </row>
    <row r="52" spans="1:10" x14ac:dyDescent="0.2">
      <c r="A52" s="554"/>
      <c r="B52" s="234"/>
      <c r="C52" s="893"/>
      <c r="D52" s="561" t="s">
        <v>84</v>
      </c>
      <c r="E52" s="527" t="str">
        <f>IF(OR('Crit 4 - Vehicle Policies'!K12="",'Crit 4 - Vehicle Policies'!K12="&lt;Select YES or NO&gt;"),"Missing","Complete")</f>
        <v>Complete</v>
      </c>
      <c r="F52" s="527">
        <f t="shared" si="0"/>
        <v>0</v>
      </c>
      <c r="G52" s="553" t="str">
        <f>IF(E52="MISSING","Please select yes or no in cell K12","")</f>
        <v/>
      </c>
      <c r="H52" s="603"/>
      <c r="I52" s="238"/>
      <c r="J52" s="554"/>
    </row>
    <row r="53" spans="1:10" ht="25.5" x14ac:dyDescent="0.2">
      <c r="A53" s="554"/>
      <c r="B53" s="234"/>
      <c r="C53" s="893"/>
      <c r="D53" s="561" t="s">
        <v>85</v>
      </c>
      <c r="E53" s="527" t="str">
        <f>IF(OR('Crit 4 - Vehicle Policies'!K14="",'Crit 4 - Vehicle Policies'!K14="&lt;Select YES or NO&gt;"),"Missing","Complete")</f>
        <v>Complete</v>
      </c>
      <c r="F53" s="527">
        <f t="shared" si="0"/>
        <v>0</v>
      </c>
      <c r="G53" s="553" t="str">
        <f>IF(E53="MISSING","Please select yes or no in cell K14","")</f>
        <v/>
      </c>
      <c r="H53" s="603"/>
      <c r="I53" s="238"/>
      <c r="J53" s="554"/>
    </row>
    <row r="54" spans="1:10" ht="25.5" x14ac:dyDescent="0.2">
      <c r="A54" s="554"/>
      <c r="B54" s="234"/>
      <c r="C54" s="893"/>
      <c r="D54" s="561" t="s">
        <v>86</v>
      </c>
      <c r="E54" s="527" t="str">
        <f>IF(OR('Crit 4 - Vehicle Policies'!K16="",'Crit 4 - Vehicle Policies'!K16="&lt;Select YES or NO&gt;"),"Missing","Complete")</f>
        <v>Complete</v>
      </c>
      <c r="F54" s="527">
        <f t="shared" si="0"/>
        <v>0</v>
      </c>
      <c r="G54" s="553" t="str">
        <f>IF(E54="MISSING","Please select yes or no in cell K16","")</f>
        <v/>
      </c>
      <c r="H54" s="603"/>
      <c r="I54" s="238"/>
      <c r="J54" s="554"/>
    </row>
    <row r="55" spans="1:10" ht="25.5" x14ac:dyDescent="0.2">
      <c r="A55" s="554"/>
      <c r="B55" s="234"/>
      <c r="C55" s="893"/>
      <c r="D55" s="561" t="s">
        <v>87</v>
      </c>
      <c r="E55" s="527" t="str">
        <f>IF(OR('Crit 4 - Vehicle Policies'!K18="",'Crit 4 - Vehicle Policies'!K18="&lt;Select YES or NO&gt;"),"Missing","Complete")</f>
        <v>Complete</v>
      </c>
      <c r="F55" s="527">
        <f t="shared" si="0"/>
        <v>0</v>
      </c>
      <c r="G55" s="553" t="str">
        <f>IF(E55="MISSING","Please select yes or no in cell K18","")</f>
        <v/>
      </c>
      <c r="H55" s="603"/>
      <c r="I55" s="238"/>
      <c r="J55" s="554"/>
    </row>
    <row r="56" spans="1:10" ht="25.5" x14ac:dyDescent="0.2">
      <c r="A56" s="554"/>
      <c r="B56" s="234"/>
      <c r="C56" s="893"/>
      <c r="D56" s="561" t="s">
        <v>88</v>
      </c>
      <c r="E56" s="527" t="str">
        <f>IF(OR('Crit 4 - Vehicle Policies'!K20="",'Crit 4 - Vehicle Policies'!K20="&lt;Select YES or NO&gt;"),"Missing","Complete")</f>
        <v>Complete</v>
      </c>
      <c r="F56" s="527">
        <f t="shared" si="0"/>
        <v>0</v>
      </c>
      <c r="G56" s="553" t="str">
        <f>IF(E56="MISSING","Please select yes or no in cell K20","")</f>
        <v/>
      </c>
      <c r="H56" s="603"/>
      <c r="I56" s="238"/>
      <c r="J56" s="554"/>
    </row>
    <row r="57" spans="1:10" ht="25.5" x14ac:dyDescent="0.2">
      <c r="A57" s="554"/>
      <c r="B57" s="234"/>
      <c r="C57" s="893"/>
      <c r="D57" s="561" t="s">
        <v>89</v>
      </c>
      <c r="E57" s="527" t="str">
        <f>IF(OR('Crit 4 - Vehicle Policies'!K22="",'Crit 4 - Vehicle Policies'!K22="&lt;Select YES or NO&gt;"),"Missing","Complete")</f>
        <v>Complete</v>
      </c>
      <c r="F57" s="527">
        <f t="shared" si="0"/>
        <v>0</v>
      </c>
      <c r="G57" s="553" t="str">
        <f>IF(E57="MISSING","Please select yes or no in cell K22","")</f>
        <v/>
      </c>
      <c r="H57" s="603"/>
      <c r="I57" s="238"/>
      <c r="J57" s="554"/>
    </row>
    <row r="58" spans="1:10" x14ac:dyDescent="0.2">
      <c r="A58" s="554"/>
      <c r="B58" s="234"/>
      <c r="C58" s="893"/>
      <c r="D58" s="561" t="s">
        <v>90</v>
      </c>
      <c r="E58" s="527" t="str">
        <f>IF(AND('Crit 4 - Vehicle Policies'!K22="Yes",'Crit 4 - Vehicle Policies'!C25=""),"Missing","Complete")</f>
        <v>Complete</v>
      </c>
      <c r="F58" s="527">
        <f t="shared" si="0"/>
        <v>0</v>
      </c>
      <c r="G58" s="553" t="str">
        <f>IF(E58="MISSING","Please complete the narrative for #8","")</f>
        <v/>
      </c>
      <c r="H58" s="603"/>
      <c r="I58" s="238"/>
      <c r="J58" s="554"/>
    </row>
    <row r="59" spans="1:10" ht="25.5" x14ac:dyDescent="0.2">
      <c r="A59" s="554"/>
      <c r="B59" s="234"/>
      <c r="C59" s="893"/>
      <c r="D59" s="561" t="s">
        <v>91</v>
      </c>
      <c r="E59" s="527" t="str">
        <f>IF(OR('Crit 4 - Vehicle Policies'!K27="",'Crit 4 - Vehicle Policies'!K27="&lt;Select YES or NO&gt;"),"Missing","Complete")</f>
        <v>Complete</v>
      </c>
      <c r="F59" s="527">
        <f t="shared" si="0"/>
        <v>0</v>
      </c>
      <c r="G59" s="553" t="str">
        <f>IF(E59="MISSING","Please select yes or no in cell K27","")</f>
        <v/>
      </c>
      <c r="H59" s="603"/>
      <c r="I59" s="238"/>
      <c r="J59" s="554"/>
    </row>
    <row r="60" spans="1:10" x14ac:dyDescent="0.2">
      <c r="A60" s="554"/>
      <c r="B60" s="234"/>
      <c r="C60" s="893"/>
      <c r="D60" s="561" t="s">
        <v>92</v>
      </c>
      <c r="E60" s="527" t="str">
        <f>IF(AND('Crit 4 - Vehicle Policies'!K27="Yes",'Crit 4 - Vehicle Policies'!C30=""),"Missing","Complete")</f>
        <v>Complete</v>
      </c>
      <c r="F60" s="527">
        <f t="shared" si="0"/>
        <v>0</v>
      </c>
      <c r="G60" s="553" t="str">
        <f>IF(E60="MISSING","Please complete the narrative for #9","")</f>
        <v/>
      </c>
      <c r="H60" s="603"/>
      <c r="I60" s="238"/>
      <c r="J60" s="554"/>
    </row>
    <row r="61" spans="1:10" ht="38.25" x14ac:dyDescent="0.2">
      <c r="A61" s="554"/>
      <c r="B61" s="234"/>
      <c r="C61" s="893"/>
      <c r="D61" s="561" t="s">
        <v>93</v>
      </c>
      <c r="E61" s="527" t="str">
        <f>IF(AND('Crit 4 - Vehicle Policies'!K27="Yes",'Crit 4 - Vehicle Policies'!C34=""),"Missing","Complete")</f>
        <v>Complete</v>
      </c>
      <c r="F61" s="527">
        <f t="shared" si="0"/>
        <v>0</v>
      </c>
      <c r="G61" s="553" t="str">
        <f>IF(E61="MISSING","Please complete the narrative for #10","")</f>
        <v/>
      </c>
      <c r="H61" s="603"/>
      <c r="I61" s="238"/>
      <c r="J61" s="554"/>
    </row>
    <row r="62" spans="1:10" ht="44.45" customHeight="1" x14ac:dyDescent="0.2">
      <c r="A62" s="554"/>
      <c r="B62" s="234"/>
      <c r="C62" s="891" t="s">
        <v>94</v>
      </c>
      <c r="D62" s="712" t="s">
        <v>691</v>
      </c>
      <c r="E62" s="527" t="str">
        <f>IF(AND('Crit 4 - Vehicle Policies'!K5="Yes",OR('Crit 4- Table 6 Vehicle Inv'!D9="",'Crit 4- Table 6 Vehicle Inv'!D8="&lt;Select YES or NO&gt;")),"Missing","Complete")</f>
        <v>Complete</v>
      </c>
      <c r="F62" s="527"/>
      <c r="G62" s="553" t="str">
        <f>IF(E62="MISSING","Please complete Table 6","")</f>
        <v/>
      </c>
      <c r="H62" s="603"/>
      <c r="I62" s="238"/>
      <c r="J62" s="554"/>
    </row>
    <row r="63" spans="1:10" ht="38.25" x14ac:dyDescent="0.2">
      <c r="A63" s="554"/>
      <c r="B63" s="234"/>
      <c r="C63" s="892"/>
      <c r="D63" s="712" t="s">
        <v>95</v>
      </c>
      <c r="E63" s="527" t="str">
        <f>IF(AND('Crit 4 - Vehicle Policies'!K7="Yes",OR('Crit 4- Table 6 Vehicle Inv'!D9="",'Crit 4- Table 6 Vehicle Inv'!D9="&lt;Select YES or NO&gt;")),"Missing","Complete")</f>
        <v>Complete</v>
      </c>
      <c r="F63" s="527">
        <f t="shared" si="0"/>
        <v>0</v>
      </c>
      <c r="G63" s="553" t="str">
        <f>IF(E63="MISSING","Please complete Table 6","")</f>
        <v/>
      </c>
      <c r="H63" s="603"/>
      <c r="I63" s="238"/>
      <c r="J63" s="554"/>
    </row>
    <row r="64" spans="1:10" x14ac:dyDescent="0.2">
      <c r="A64" s="554"/>
      <c r="B64" s="234"/>
      <c r="C64" s="890" t="s">
        <v>96</v>
      </c>
      <c r="D64" s="561" t="s">
        <v>97</v>
      </c>
      <c r="E64" s="527" t="str">
        <f>IF(OR('Crit 5 - Stretch Code complianc'!I5="",'Crit 5 - Stretch Code complianc'!I5="&lt;Select Yes or No&gt;"),"Missing","Complete")</f>
        <v>Complete</v>
      </c>
      <c r="F64" s="527">
        <f t="shared" si="0"/>
        <v>0</v>
      </c>
      <c r="G64" s="553" t="str">
        <f>IF(E64="MISSING","Please select yes or no in cell I5","")</f>
        <v/>
      </c>
      <c r="H64" s="603"/>
      <c r="I64" s="238"/>
      <c r="J64" s="554"/>
    </row>
    <row r="65" spans="1:10" ht="38.25" x14ac:dyDescent="0.2">
      <c r="A65" s="554"/>
      <c r="B65" s="234"/>
      <c r="C65" s="890"/>
      <c r="D65" s="561" t="s">
        <v>98</v>
      </c>
      <c r="E65" s="527" t="str">
        <f>IF(OR('Crit 5 - Stretch Code complianc'!I8="",'Crit 5 - Stretch Code complianc'!I8="&lt;Select Yes or No&gt;"),"Missing","Complete")</f>
        <v>Complete</v>
      </c>
      <c r="F65" s="527">
        <f t="shared" si="0"/>
        <v>0</v>
      </c>
      <c r="G65" s="553" t="str">
        <f>IF(E65="MISSING","Please select yes or no in cell I8","")</f>
        <v/>
      </c>
      <c r="H65" s="603"/>
      <c r="I65" s="238"/>
      <c r="J65" s="554"/>
    </row>
    <row r="66" spans="1:10" ht="25.5" x14ac:dyDescent="0.2">
      <c r="A66" s="554"/>
      <c r="B66" s="234"/>
      <c r="C66" s="890"/>
      <c r="D66" s="561" t="s">
        <v>99</v>
      </c>
      <c r="E66" s="527" t="str">
        <f>IF('Crit 5 - Stretch Code complianc'!I11="&lt;select one&gt;","Missing","Complete")</f>
        <v>Complete</v>
      </c>
      <c r="F66" s="527">
        <f t="shared" si="0"/>
        <v>0</v>
      </c>
      <c r="G66" s="553" t="str">
        <f>IF(E66="MISSING","Please select a value from the drop down in cell I11","")</f>
        <v/>
      </c>
      <c r="H66" s="603"/>
      <c r="I66" s="238"/>
      <c r="J66" s="554"/>
    </row>
    <row r="67" spans="1:10" x14ac:dyDescent="0.2">
      <c r="A67" s="554"/>
      <c r="B67" s="234"/>
      <c r="D67" s="1"/>
      <c r="G67" s="1"/>
      <c r="H67" s="1"/>
      <c r="I67" s="238"/>
      <c r="J67" s="554"/>
    </row>
    <row r="68" spans="1:10" ht="13.5" thickBot="1" x14ac:dyDescent="0.25">
      <c r="A68" s="554"/>
      <c r="B68" s="294"/>
      <c r="C68" s="235"/>
      <c r="D68" s="563"/>
      <c r="E68" s="235"/>
      <c r="F68" s="235"/>
      <c r="G68" s="563"/>
      <c r="H68" s="564"/>
      <c r="I68" s="295"/>
      <c r="J68" s="554"/>
    </row>
    <row r="69" spans="1:10" ht="15" customHeight="1" x14ac:dyDescent="0.2">
      <c r="A69" s="565"/>
      <c r="B69" s="554"/>
      <c r="C69" s="554"/>
      <c r="D69" s="555"/>
      <c r="E69" s="554"/>
      <c r="F69" s="554"/>
      <c r="G69" s="555"/>
      <c r="H69" s="554"/>
      <c r="I69" s="554"/>
      <c r="J69" s="554"/>
    </row>
  </sheetData>
  <mergeCells count="10">
    <mergeCell ref="C64:C66"/>
    <mergeCell ref="C62:C63"/>
    <mergeCell ref="C50:C61"/>
    <mergeCell ref="C10:H10"/>
    <mergeCell ref="C6:H8"/>
    <mergeCell ref="C33:C44"/>
    <mergeCell ref="C45:C47"/>
    <mergeCell ref="C13:C18"/>
    <mergeCell ref="C19:C31"/>
    <mergeCell ref="D11:H11"/>
  </mergeCells>
  <conditionalFormatting sqref="D58:E58 D57 D59 D13:G20 D21:E28 G21:G28 D60:E66 F21:F66 G61:G63">
    <cfRule type="expression" dxfId="136" priority="99">
      <formula>$E13="Missing"</formula>
    </cfRule>
  </conditionalFormatting>
  <conditionalFormatting sqref="D29:E30">
    <cfRule type="expression" dxfId="135" priority="98">
      <formula>$E29="Missing"</formula>
    </cfRule>
  </conditionalFormatting>
  <conditionalFormatting sqref="D31:E39">
    <cfRule type="expression" dxfId="134" priority="97">
      <formula>$E31="Missing"</formula>
    </cfRule>
  </conditionalFormatting>
  <conditionalFormatting sqref="D40:E41">
    <cfRule type="expression" dxfId="133" priority="96">
      <formula>$E40="Missing"</formula>
    </cfRule>
  </conditionalFormatting>
  <conditionalFormatting sqref="D42:E50">
    <cfRule type="expression" dxfId="132" priority="95">
      <formula>$E42="Missing"</formula>
    </cfRule>
  </conditionalFormatting>
  <conditionalFormatting sqref="D51:E52">
    <cfRule type="expression" dxfId="131" priority="94">
      <formula>$E51="Missing"</formula>
    </cfRule>
  </conditionalFormatting>
  <conditionalFormatting sqref="D53:E54 G54">
    <cfRule type="expression" dxfId="130" priority="93">
      <formula>$E53="Missing"</formula>
    </cfRule>
  </conditionalFormatting>
  <conditionalFormatting sqref="D55:E56 G55:G56">
    <cfRule type="expression" dxfId="129" priority="92">
      <formula>$E55="Missing"</formula>
    </cfRule>
  </conditionalFormatting>
  <conditionalFormatting sqref="E57">
    <cfRule type="expression" dxfId="128" priority="90">
      <formula>$E57="Missing"</formula>
    </cfRule>
  </conditionalFormatting>
  <conditionalFormatting sqref="E59">
    <cfRule type="expression" dxfId="127" priority="89">
      <formula>$E59="Missing"</formula>
    </cfRule>
  </conditionalFormatting>
  <conditionalFormatting sqref="G13">
    <cfRule type="expression" dxfId="126" priority="88">
      <formula>$E13="Missing"</formula>
    </cfRule>
  </conditionalFormatting>
  <conditionalFormatting sqref="G14">
    <cfRule type="expression" dxfId="125" priority="87">
      <formula>$E14="Missing"</formula>
    </cfRule>
  </conditionalFormatting>
  <conditionalFormatting sqref="G15">
    <cfRule type="expression" dxfId="124" priority="86">
      <formula>$E15="Missing"</formula>
    </cfRule>
  </conditionalFormatting>
  <conditionalFormatting sqref="G16">
    <cfRule type="expression" dxfId="123" priority="85">
      <formula>$E16="Missing"</formula>
    </cfRule>
  </conditionalFormatting>
  <conditionalFormatting sqref="D23:E24 G23:G24">
    <cfRule type="expression" dxfId="122" priority="84">
      <formula>$E23="Missing"</formula>
    </cfRule>
  </conditionalFormatting>
  <conditionalFormatting sqref="D25:E25 G25">
    <cfRule type="expression" dxfId="121" priority="83">
      <formula>$E25="Missing"</formula>
    </cfRule>
  </conditionalFormatting>
  <conditionalFormatting sqref="G17">
    <cfRule type="expression" dxfId="120" priority="82">
      <formula>$E17="Missing"</formula>
    </cfRule>
  </conditionalFormatting>
  <conditionalFormatting sqref="G27">
    <cfRule type="expression" dxfId="119" priority="81">
      <formula>$E27="Missing"</formula>
    </cfRule>
  </conditionalFormatting>
  <conditionalFormatting sqref="G28">
    <cfRule type="expression" dxfId="118" priority="80">
      <formula>$E28="Missing"</formula>
    </cfRule>
  </conditionalFormatting>
  <conditionalFormatting sqref="G31">
    <cfRule type="expression" dxfId="117" priority="79">
      <formula>$E31="Missing"</formula>
    </cfRule>
  </conditionalFormatting>
  <conditionalFormatting sqref="G31">
    <cfRule type="expression" dxfId="116" priority="78">
      <formula>$E31="Missing"</formula>
    </cfRule>
  </conditionalFormatting>
  <conditionalFormatting sqref="G29">
    <cfRule type="expression" dxfId="115" priority="77">
      <formula>$E29="Missing"</formula>
    </cfRule>
  </conditionalFormatting>
  <conditionalFormatting sqref="G29">
    <cfRule type="expression" dxfId="114" priority="76">
      <formula>$E29="Missing"</formula>
    </cfRule>
  </conditionalFormatting>
  <conditionalFormatting sqref="G30">
    <cfRule type="expression" dxfId="113" priority="75">
      <formula>$E30="Missing"</formula>
    </cfRule>
  </conditionalFormatting>
  <conditionalFormatting sqref="G30">
    <cfRule type="expression" dxfId="112" priority="74">
      <formula>$E30="Missing"</formula>
    </cfRule>
  </conditionalFormatting>
  <conditionalFormatting sqref="G32">
    <cfRule type="expression" dxfId="111" priority="73">
      <formula>$E32="Missing"</formula>
    </cfRule>
  </conditionalFormatting>
  <conditionalFormatting sqref="G32">
    <cfRule type="expression" dxfId="110" priority="72">
      <formula>$E32="Missing"</formula>
    </cfRule>
  </conditionalFormatting>
  <conditionalFormatting sqref="G33">
    <cfRule type="expression" dxfId="109" priority="71">
      <formula>$E33="Missing"</formula>
    </cfRule>
  </conditionalFormatting>
  <conditionalFormatting sqref="G33">
    <cfRule type="expression" dxfId="108" priority="70">
      <formula>$E33="Missing"</formula>
    </cfRule>
  </conditionalFormatting>
  <conditionalFormatting sqref="G34">
    <cfRule type="expression" dxfId="107" priority="69">
      <formula>$E34="Missing"</formula>
    </cfRule>
  </conditionalFormatting>
  <conditionalFormatting sqref="G34">
    <cfRule type="expression" dxfId="106" priority="68">
      <formula>$E34="Missing"</formula>
    </cfRule>
  </conditionalFormatting>
  <conditionalFormatting sqref="G35">
    <cfRule type="expression" dxfId="105" priority="67">
      <formula>$E35="Missing"</formula>
    </cfRule>
  </conditionalFormatting>
  <conditionalFormatting sqref="G35">
    <cfRule type="expression" dxfId="104" priority="66">
      <formula>$E35="Missing"</formula>
    </cfRule>
  </conditionalFormatting>
  <conditionalFormatting sqref="G42">
    <cfRule type="expression" dxfId="103" priority="63">
      <formula>$E42="Missing"</formula>
    </cfRule>
  </conditionalFormatting>
  <conditionalFormatting sqref="G42">
    <cfRule type="expression" dxfId="102" priority="62">
      <formula>$E42="Missing"</formula>
    </cfRule>
  </conditionalFormatting>
  <conditionalFormatting sqref="G36">
    <cfRule type="expression" dxfId="101" priority="61">
      <formula>$E36="Missing"</formula>
    </cfRule>
  </conditionalFormatting>
  <conditionalFormatting sqref="G36">
    <cfRule type="expression" dxfId="100" priority="60">
      <formula>$E36="Missing"</formula>
    </cfRule>
  </conditionalFormatting>
  <conditionalFormatting sqref="G37">
    <cfRule type="expression" dxfId="99" priority="59">
      <formula>$E37="Missing"</formula>
    </cfRule>
  </conditionalFormatting>
  <conditionalFormatting sqref="G37">
    <cfRule type="expression" dxfId="98" priority="58">
      <formula>$E37="Missing"</formula>
    </cfRule>
  </conditionalFormatting>
  <conditionalFormatting sqref="G38">
    <cfRule type="expression" dxfId="97" priority="57">
      <formula>$E38="Missing"</formula>
    </cfRule>
  </conditionalFormatting>
  <conditionalFormatting sqref="G38">
    <cfRule type="expression" dxfId="96" priority="56">
      <formula>$E38="Missing"</formula>
    </cfRule>
  </conditionalFormatting>
  <conditionalFormatting sqref="G39">
    <cfRule type="expression" dxfId="95" priority="55">
      <formula>$E39="Missing"</formula>
    </cfRule>
  </conditionalFormatting>
  <conditionalFormatting sqref="G39">
    <cfRule type="expression" dxfId="94" priority="54">
      <formula>$E39="Missing"</formula>
    </cfRule>
  </conditionalFormatting>
  <conditionalFormatting sqref="G40">
    <cfRule type="expression" dxfId="93" priority="53">
      <formula>$E40="Missing"</formula>
    </cfRule>
  </conditionalFormatting>
  <conditionalFormatting sqref="G40">
    <cfRule type="expression" dxfId="92" priority="52">
      <formula>$E40="Missing"</formula>
    </cfRule>
  </conditionalFormatting>
  <conditionalFormatting sqref="G41">
    <cfRule type="expression" dxfId="91" priority="51">
      <formula>$E41="Missing"</formula>
    </cfRule>
  </conditionalFormatting>
  <conditionalFormatting sqref="G41">
    <cfRule type="expression" dxfId="90" priority="50">
      <formula>$E41="Missing"</formula>
    </cfRule>
  </conditionalFormatting>
  <conditionalFormatting sqref="G43">
    <cfRule type="expression" dxfId="89" priority="49">
      <formula>$E43="Missing"</formula>
    </cfRule>
  </conditionalFormatting>
  <conditionalFormatting sqref="G43">
    <cfRule type="expression" dxfId="88" priority="48">
      <formula>$E43="Missing"</formula>
    </cfRule>
  </conditionalFormatting>
  <conditionalFormatting sqref="G44">
    <cfRule type="expression" dxfId="87" priority="45">
      <formula>$E44="Missing"</formula>
    </cfRule>
  </conditionalFormatting>
  <conditionalFormatting sqref="G44">
    <cfRule type="expression" dxfId="86" priority="44">
      <formula>$E44="Missing"</formula>
    </cfRule>
  </conditionalFormatting>
  <conditionalFormatting sqref="G45">
    <cfRule type="expression" dxfId="85" priority="43">
      <formula>$E45="Missing"</formula>
    </cfRule>
  </conditionalFormatting>
  <conditionalFormatting sqref="G45">
    <cfRule type="expression" dxfId="84" priority="42">
      <formula>$E45="Missing"</formula>
    </cfRule>
  </conditionalFormatting>
  <conditionalFormatting sqref="G46">
    <cfRule type="expression" dxfId="83" priority="41">
      <formula>$E46="Missing"</formula>
    </cfRule>
  </conditionalFormatting>
  <conditionalFormatting sqref="G46">
    <cfRule type="expression" dxfId="82" priority="40">
      <formula>$E46="Missing"</formula>
    </cfRule>
  </conditionalFormatting>
  <conditionalFormatting sqref="G47">
    <cfRule type="expression" dxfId="81" priority="39">
      <formula>$E47="Missing"</formula>
    </cfRule>
  </conditionalFormatting>
  <conditionalFormatting sqref="G47">
    <cfRule type="expression" dxfId="80" priority="38">
      <formula>$E47="Missing"</formula>
    </cfRule>
  </conditionalFormatting>
  <conditionalFormatting sqref="G48">
    <cfRule type="expression" dxfId="79" priority="37">
      <formula>$E48="Missing"</formula>
    </cfRule>
  </conditionalFormatting>
  <conditionalFormatting sqref="G48">
    <cfRule type="expression" dxfId="78" priority="36">
      <formula>$E48="Missing"</formula>
    </cfRule>
  </conditionalFormatting>
  <conditionalFormatting sqref="G49">
    <cfRule type="expression" dxfId="77" priority="35">
      <formula>$E49="Missing"</formula>
    </cfRule>
  </conditionalFormatting>
  <conditionalFormatting sqref="G49">
    <cfRule type="expression" dxfId="76" priority="34">
      <formula>$E49="Missing"</formula>
    </cfRule>
  </conditionalFormatting>
  <conditionalFormatting sqref="G50">
    <cfRule type="expression" dxfId="75" priority="33">
      <formula>$E50="Missing"</formula>
    </cfRule>
  </conditionalFormatting>
  <conditionalFormatting sqref="G50">
    <cfRule type="expression" dxfId="74" priority="32">
      <formula>$E50="Missing"</formula>
    </cfRule>
  </conditionalFormatting>
  <conditionalFormatting sqref="G51">
    <cfRule type="expression" dxfId="73" priority="31">
      <formula>$E51="Missing"</formula>
    </cfRule>
  </conditionalFormatting>
  <conditionalFormatting sqref="G51">
    <cfRule type="expression" dxfId="72" priority="30">
      <formula>$E51="Missing"</formula>
    </cfRule>
  </conditionalFormatting>
  <conditionalFormatting sqref="G52">
    <cfRule type="expression" dxfId="71" priority="29">
      <formula>$E52="Missing"</formula>
    </cfRule>
  </conditionalFormatting>
  <conditionalFormatting sqref="G52">
    <cfRule type="expression" dxfId="70" priority="28">
      <formula>$E52="Missing"</formula>
    </cfRule>
  </conditionalFormatting>
  <conditionalFormatting sqref="G53:G56">
    <cfRule type="expression" dxfId="69" priority="27">
      <formula>$E53="Missing"</formula>
    </cfRule>
  </conditionalFormatting>
  <conditionalFormatting sqref="G53:G56">
    <cfRule type="expression" dxfId="68" priority="26">
      <formula>$E53="Missing"</formula>
    </cfRule>
  </conditionalFormatting>
  <conditionalFormatting sqref="G57">
    <cfRule type="expression" dxfId="67" priority="25">
      <formula>$E57="Missing"</formula>
    </cfRule>
  </conditionalFormatting>
  <conditionalFormatting sqref="G57">
    <cfRule type="expression" dxfId="66" priority="24">
      <formula>$E57="Missing"</formula>
    </cfRule>
  </conditionalFormatting>
  <conditionalFormatting sqref="G57">
    <cfRule type="expression" dxfId="65" priority="23">
      <formula>$E57="Missing"</formula>
    </cfRule>
  </conditionalFormatting>
  <conditionalFormatting sqref="G59">
    <cfRule type="expression" dxfId="64" priority="22">
      <formula>$E59="Missing"</formula>
    </cfRule>
  </conditionalFormatting>
  <conditionalFormatting sqref="G59">
    <cfRule type="expression" dxfId="63" priority="21">
      <formula>$E59="Missing"</formula>
    </cfRule>
  </conditionalFormatting>
  <conditionalFormatting sqref="G59">
    <cfRule type="expression" dxfId="62" priority="20">
      <formula>$E59="Missing"</formula>
    </cfRule>
  </conditionalFormatting>
  <conditionalFormatting sqref="G58">
    <cfRule type="expression" dxfId="61" priority="19">
      <formula>$E58="Missing"</formula>
    </cfRule>
  </conditionalFormatting>
  <conditionalFormatting sqref="G58">
    <cfRule type="expression" dxfId="60" priority="18">
      <formula>$E58="Missing"</formula>
    </cfRule>
  </conditionalFormatting>
  <conditionalFormatting sqref="G58">
    <cfRule type="expression" dxfId="59" priority="17">
      <formula>$E58="Missing"</formula>
    </cfRule>
  </conditionalFormatting>
  <conditionalFormatting sqref="G60">
    <cfRule type="expression" dxfId="58" priority="16">
      <formula>$E60="Missing"</formula>
    </cfRule>
  </conditionalFormatting>
  <conditionalFormatting sqref="G60">
    <cfRule type="expression" dxfId="57" priority="15">
      <formula>$E60="Missing"</formula>
    </cfRule>
  </conditionalFormatting>
  <conditionalFormatting sqref="G60">
    <cfRule type="expression" dxfId="56" priority="14">
      <formula>$E60="Missing"</formula>
    </cfRule>
  </conditionalFormatting>
  <conditionalFormatting sqref="G64">
    <cfRule type="expression" dxfId="55" priority="10">
      <formula>$E64="Missing"</formula>
    </cfRule>
  </conditionalFormatting>
  <conditionalFormatting sqref="G64">
    <cfRule type="expression" dxfId="54" priority="9">
      <formula>$E64="Missing"</formula>
    </cfRule>
  </conditionalFormatting>
  <conditionalFormatting sqref="G64">
    <cfRule type="expression" dxfId="53" priority="8">
      <formula>$E64="Missing"</formula>
    </cfRule>
  </conditionalFormatting>
  <conditionalFormatting sqref="G65">
    <cfRule type="expression" dxfId="52" priority="7">
      <formula>$E65="Missing"</formula>
    </cfRule>
  </conditionalFormatting>
  <conditionalFormatting sqref="G65">
    <cfRule type="expression" dxfId="51" priority="6">
      <formula>$E65="Missing"</formula>
    </cfRule>
  </conditionalFormatting>
  <conditionalFormatting sqref="G65">
    <cfRule type="expression" dxfId="50" priority="5">
      <formula>$E65="Missing"</formula>
    </cfRule>
  </conditionalFormatting>
  <conditionalFormatting sqref="G66">
    <cfRule type="expression" dxfId="49" priority="4">
      <formula>$E66="Missing"</formula>
    </cfRule>
  </conditionalFormatting>
  <conditionalFormatting sqref="G66">
    <cfRule type="expression" dxfId="48" priority="3">
      <formula>$E66="Missing"</formula>
    </cfRule>
  </conditionalFormatting>
  <conditionalFormatting sqref="C11:H11">
    <cfRule type="expression" dxfId="47" priority="1">
      <formula>$D$11="Annual Report is complete"</formula>
    </cfRule>
    <cfRule type="expression" dxfId="46" priority="2">
      <formula>$D$11="Annual Report is not complete. Please complete missing items or provide explenations."</formula>
    </cfRule>
  </conditionalFormatting>
  <hyperlinks>
    <hyperlink ref="D13" location="'Crit 1 &amp; 2'!H4" display="Type of as-of-right siting approval received" xr:uid="{00000000-0004-0000-0200-000000000000}"/>
    <hyperlink ref="D14" location="'Crit 1 &amp; 2'!H6" display="Type of expedited permitting approval received" xr:uid="{00000000-0004-0000-0200-000001000000}"/>
    <hyperlink ref="D15" location="'Crit 1 &amp; 2'!L8" display="1) Have any significant changes been made to the zoning district(s) for which the community received Green Communities designation? " xr:uid="{00000000-0004-0000-0200-000002000000}"/>
    <hyperlink ref="D16" location="'Crit 1 &amp; 2'!L10" display="2) Have any significant changes been made to site plan, design, or other development review criteria or any permit review procedures that would impact the ability to permit qualifying clean energy uses as-of-right and in a timely manner? " xr:uid="{00000000-0004-0000-0200-000003000000}"/>
    <hyperlink ref="D17" location="'Crit 1 &amp; 2'!L16" display="3) Since your last Annual Report, or Designation Application (if first Annual Report) have any clean energy projects applied for approval under the zoning for which the community received Green Community Designation? Have any clean energy project been approved for construction?" xr:uid="{00000000-0004-0000-0200-000004000000}"/>
    <hyperlink ref="D18" location="'Crit 1 &amp; 2'!C23" display="Table 1" xr:uid="{00000000-0004-0000-0200-000005000000}"/>
    <hyperlink ref="D19" location="'Crit 3 - Overview'!L15" display="Is Regional School District (RSD) energy included?" xr:uid="{00000000-0004-0000-0200-000006000000}"/>
    <hyperlink ref="D20" location="'Crit 3 - Overview'!L16" display="What is the name of the RSD?" xr:uid="{00000000-0004-0000-0200-000007000000}"/>
    <hyperlink ref="D21" location="'Crit 3 - Overview'!L17" display="How is RSD energy included?" xr:uid="{00000000-0004-0000-0200-000008000000}"/>
    <hyperlink ref="D22" location="'Crit 3 - Overview'!L18" display="% or names of RSD building energy included" xr:uid="{00000000-0004-0000-0200-000009000000}"/>
    <hyperlink ref="D23" location="'Crit 3 - Overview'!L22" display="Does the community use MEI?" xr:uid="{00000000-0004-0000-0200-00000A000000}"/>
    <hyperlink ref="D24" location="'Crit 3 - Overview'!L23" display="Date MEI was last verified" xr:uid="{00000000-0004-0000-0200-00000B000000}"/>
    <hyperlink ref="D25" location="'Crit 3 - Overview'!L29" display="Does the community use an EMS Agreement?" xr:uid="{00000000-0004-0000-0200-00000C000000}"/>
    <hyperlink ref="D26" location="'Crit 3 - Overview'!L31" display="Date EMS filed with DOER" xr:uid="{00000000-0004-0000-0200-00000D000000}"/>
    <hyperlink ref="D27" location="'Crit 3 - Overview'!L34" display="Does the community use conventionally net meter renewable energy produced within the community?" xr:uid="{00000000-0004-0000-0200-00000E000000}"/>
    <hyperlink ref="D28" location="'Crit 3 - Overview'!E43" display="Brief narrative of changes seen and anticipated." xr:uid="{00000000-0004-0000-0200-00000F000000}"/>
    <hyperlink ref="D29" location="'Crit 3 - Overview'!L51" display="Has the community had any building stock changes since it's baseline year?" xr:uid="{00000000-0004-0000-0200-000010000000}"/>
    <hyperlink ref="D30" location="'Crit 3 - Overview'!L53" display="Have any building stock changes occurred since your last Annual Report?" xr:uid="{00000000-0004-0000-0200-000011000000}"/>
    <hyperlink ref="D31" location="'Crit 3 - Overview'!E56" display="Building stock change narrative" xr:uid="{00000000-0004-0000-0200-000012000000}"/>
    <hyperlink ref="D32" location="'Building Stock Change Calculato'!D13" display="Building stock change calculator complete for all building stock changes that have occurred since the baseline year" xr:uid="{00000000-0004-0000-0200-000013000000}"/>
    <hyperlink ref="D33" location="'Crit 3 - Table  2 Progress'!H6" display="Does the Community use Calendar Year (CY) or Fiscal Year (FY)?" xr:uid="{00000000-0004-0000-0200-000014000000}"/>
    <hyperlink ref="D34" location="'Crit 3 - Table  2 Progress'!D10" display="Baseline Year" xr:uid="{00000000-0004-0000-0200-000015000000}"/>
    <hyperlink ref="D35" location="'Crit 3 - Table  2 Progress'!G17" display="Building Stock Change Adjustment - Current year" xr:uid="{00000000-0004-0000-0200-000016000000}"/>
    <hyperlink ref="D36" location="'Crit 3 - Table  2 Progress'!D18" display="Regional School Prorated - Baseline year" xr:uid="{00000000-0004-0000-0200-000017000000}"/>
    <hyperlink ref="D37" location="'Crit 3 - Table  2 Progress'!G18" display="Regional School Prorated - Current Year" xr:uid="{00000000-0004-0000-0200-000018000000}"/>
    <hyperlink ref="D38" location="'Crit 3 - Table  2 Progress'!D19" display="TOTAL ENERGY CONSUMPTION   (NO Weather Normalization) - Baseline year" xr:uid="{00000000-0004-0000-0200-000019000000}"/>
    <hyperlink ref="D39" location="'Crit 3 - Table  2 Progress'!G19" display="TOTAL ENERGY CONSUMPTION   (NO Weather Normalization) - Current year" xr:uid="{00000000-0004-0000-0200-00001A000000}"/>
    <hyperlink ref="D40" location="'Crit 3 - Table  2 Progress'!D20" display="Weather Normalized Consumption (without building stock adjustment) - Baseline year" xr:uid="{00000000-0004-0000-0200-00001B000000}"/>
    <hyperlink ref="D41" location="'Crit 3 - Table  2 Progress'!G20" display="Weather Normalized Consumption (without building stock adjustment) - Current year" xr:uid="{00000000-0004-0000-0200-00001C000000}"/>
    <hyperlink ref="D42" location="'Crit 3 - Table  2 Progress'!G21" display="Building Stock Change Adjustment (weather - normalized) - Current year" xr:uid="{00000000-0004-0000-0200-00001D000000}"/>
    <hyperlink ref="D43" location="'Crit 3 - Table  2 Progress'!D22" display="Regional School Prorated (weather-normalized) - Baseline year" xr:uid="{00000000-0004-0000-0200-00001E000000}"/>
    <hyperlink ref="D44" location="'Crit 3 - Table  2 Progress'!G22" display="Regional School Prorated (weather-normalized) - Current year" xr:uid="{00000000-0004-0000-0200-00001F000000}"/>
    <hyperlink ref="D45" location="'Crit 3 -Tbl 3 for Non-MEI Users'!D5" display="Select plan year" xr:uid="{00000000-0004-0000-0200-000020000000}"/>
    <hyperlink ref="D46" location="'Crit 3 -Tbl 3 for Non-MEI Users'!T14" display="Subtotal for buildings" xr:uid="{00000000-0004-0000-0200-000021000000}"/>
    <hyperlink ref="D47" location="'Crit 3 -Tbl 3 for Non-MEI Users'!T20" display="Total energy consumption" xr:uid="{00000000-0004-0000-0200-000022000000}"/>
    <hyperlink ref="D48" location="'Crit 3 - Table 4 ECMs'!D8" display="Enter at least one ECM" xr:uid="{00000000-0004-0000-0200-000023000000}"/>
    <hyperlink ref="D49" location="'Crit 3 - Table 5 RE'!C8" display="If the community uses renewable energy, complete Table 5" xr:uid="{00000000-0004-0000-0200-000024000000}"/>
    <hyperlink ref="D50" location="'Crit 4 - Vehicle Policies'!K5" display="1) Replaced an exempt or non-exempt vehicle?" xr:uid="{00000000-0004-0000-0200-000025000000}"/>
    <hyperlink ref="D51" location="'Crit 4 - Vehicle Policies'!K7" display="2) Acquired a new exempt or non-exempt vehicle, and/or conducted inter-departmental vehicle transfers?" xr:uid="{00000000-0004-0000-0200-000026000000}"/>
    <hyperlink ref="D52" location="'Crit 4 - Vehicle Policies'!K12" display="3) Installed an electric vehicle charging station?" xr:uid="{00000000-0004-0000-0200-000027000000}"/>
    <hyperlink ref="D53" location="'Crit 4 - Vehicle Policies'!K14" display="4) Installed idle-reduction technology on any vehicles?" xr:uid="{00000000-0004-0000-0200-000028000000}"/>
    <hyperlink ref="D54" location="'Crit 4 - Vehicle Policies'!K16" display="5) Implemented anti-idling technology and/or campaigns?" xr:uid="{00000000-0004-0000-0200-000029000000}"/>
    <hyperlink ref="D55" location="'Crit 4 - Vehicle Policies'!K18" display="6) Implemented a driving monitoring system that records miles driven and/or fuel consumption?" xr:uid="{00000000-0004-0000-0200-00002A000000}"/>
    <hyperlink ref="D56" location="'Crit 4 - Vehicle Policies'!K20" display="7) Implement a fuel use reporting system for operators on fuel efficiency ?" xr:uid="{00000000-0004-0000-0200-00002B000000}"/>
    <hyperlink ref="D57" location="'Crit 4 - Vehicle Policies'!K22" display="8) Implement any other policies and/or technologies not listed above? " xr:uid="{00000000-0004-0000-0200-00002C000000}"/>
    <hyperlink ref="D58" location="'Crit 4 - Vehicle Policies'!K22" display="Narrative for #8" xr:uid="{00000000-0004-0000-0200-00002D000000}"/>
    <hyperlink ref="D59" location="'Crit 4 - Vehicle Policies'!K27" display="9) Does the community met Criterion 4 through alternative compliance?" xr:uid="{00000000-0004-0000-0200-00002E000000}"/>
    <hyperlink ref="D60" location="'Crit 4 - Vehicle Policies'!K27" display="Narrative for #9" xr:uid="{00000000-0004-0000-0200-00002F000000}"/>
    <hyperlink ref="D61" location="'Crit 4 - Vehicle Policies'!K27" display="10) For communities that met Criterion 4 through alternative compliance, provide as a status regarding the success of these programs and policies." xr:uid="{00000000-0004-0000-0200-000030000000}"/>
    <hyperlink ref="D64" location="'Crit 5 - Stretch Code complianc'!I5" display="Is the stretch code still in effect?" xr:uid="{00000000-0004-0000-0200-000031000000}"/>
    <hyperlink ref="D65" location="'Crit 5 - Stretch Code complianc'!I8" display="Were any residential occupancy permits issued since your last Annual Report or Designation Application (if first Annual Report)?" xr:uid="{00000000-0004-0000-0200-000032000000}"/>
    <hyperlink ref="D66" location="'Crit 5 - Stretch Code complianc'!I11" display="How many occupancy permits were issued for new commercial construction over 100,000 sq.ft.?" xr:uid="{00000000-0004-0000-0200-000033000000}"/>
    <hyperlink ref="D63" location="'Crit 4- Table 6 Vehicle Inv'!D9" display="If the community has acquired a new vehicle or transferred a vehicle in the FY fill out Table 6 (Acquisitions)" xr:uid="{00000000-0004-0000-0200-000034000000}"/>
    <hyperlink ref="D62" location="'Crit 4- Table 6 Vehicle Inv'!D9" display="If the community replaced an exempt or non-exempt vehicle during FY fill out Table 6 (Acquistions and Retirements)" xr:uid="{0FBCF778-144C-4D29-91AF-5607122DBF8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FFFF00"/>
  </sheetPr>
  <dimension ref="B1:M29"/>
  <sheetViews>
    <sheetView showGridLines="0" zoomScale="80" zoomScaleNormal="80" workbookViewId="0">
      <selection activeCell="L16" sqref="L16"/>
    </sheetView>
  </sheetViews>
  <sheetFormatPr defaultColWidth="0" defaultRowHeight="12.75" zeroHeight="1" x14ac:dyDescent="0.2"/>
  <cols>
    <col min="1" max="1" width="3.42578125" style="60" customWidth="1"/>
    <col min="2" max="2" width="3.7109375" style="60" customWidth="1"/>
    <col min="3" max="3" width="11" style="60" customWidth="1"/>
    <col min="4" max="4" width="18" style="60" customWidth="1"/>
    <col min="5" max="5" width="12.85546875" style="60" customWidth="1"/>
    <col min="6" max="6" width="11.42578125" style="60" customWidth="1"/>
    <col min="7" max="7" width="19.42578125" style="60" customWidth="1"/>
    <col min="8" max="8" width="21.7109375" style="60" customWidth="1"/>
    <col min="9" max="9" width="12.5703125" style="60" customWidth="1"/>
    <col min="10" max="10" width="14" style="60" customWidth="1"/>
    <col min="11" max="11" width="12.85546875" style="60" customWidth="1"/>
    <col min="12" max="12" width="21" style="60" customWidth="1"/>
    <col min="13" max="13" width="17.140625" style="60" customWidth="1"/>
    <col min="14" max="14" width="8.85546875" style="60" customWidth="1"/>
    <col min="15" max="16384" width="0" style="60" hidden="1"/>
  </cols>
  <sheetData>
    <row r="1" spans="2:13" ht="13.5" thickBot="1" x14ac:dyDescent="0.25"/>
    <row r="2" spans="2:13" x14ac:dyDescent="0.2">
      <c r="B2" s="61"/>
      <c r="C2" s="62"/>
      <c r="D2" s="62"/>
      <c r="E2" s="62"/>
      <c r="F2" s="62"/>
      <c r="G2" s="62"/>
      <c r="H2" s="62"/>
      <c r="I2" s="62"/>
      <c r="J2" s="62"/>
      <c r="K2" s="62"/>
      <c r="L2" s="62"/>
      <c r="M2" s="63"/>
    </row>
    <row r="3" spans="2:13" ht="18.75" customHeight="1" thickBot="1" x14ac:dyDescent="0.25">
      <c r="B3" s="64"/>
      <c r="C3" s="124" t="s">
        <v>100</v>
      </c>
      <c r="D3" s="12"/>
      <c r="E3" s="12"/>
      <c r="F3" s="12"/>
      <c r="G3" s="12"/>
      <c r="H3" s="12"/>
      <c r="I3" s="12"/>
      <c r="J3" s="12"/>
      <c r="K3" s="12"/>
      <c r="L3" s="12"/>
      <c r="M3" s="65"/>
    </row>
    <row r="4" spans="2:13" ht="13.5" thickBot="1" x14ac:dyDescent="0.25">
      <c r="B4" s="64"/>
      <c r="C4" s="164" t="s">
        <v>101</v>
      </c>
      <c r="D4" s="535"/>
      <c r="E4" s="535"/>
      <c r="F4" s="535"/>
      <c r="G4" s="165"/>
      <c r="H4" s="390" t="s">
        <v>459</v>
      </c>
      <c r="I4" s="125"/>
      <c r="J4" s="12"/>
      <c r="K4" s="12"/>
      <c r="L4" s="12"/>
      <c r="M4" s="65"/>
    </row>
    <row r="5" spans="2:13" ht="13.5" thickBot="1" x14ac:dyDescent="0.25">
      <c r="B5" s="64"/>
      <c r="C5" s="164"/>
      <c r="D5" s="535"/>
      <c r="E5" s="535"/>
      <c r="F5" s="535"/>
      <c r="G5" s="165"/>
      <c r="H5" s="125"/>
      <c r="I5" s="125"/>
      <c r="J5" s="12"/>
      <c r="K5" s="12"/>
      <c r="L5" s="12"/>
      <c r="M5" s="65"/>
    </row>
    <row r="6" spans="2:13" ht="13.5" thickBot="1" x14ac:dyDescent="0.25">
      <c r="B6" s="64"/>
      <c r="C6" s="164" t="s">
        <v>102</v>
      </c>
      <c r="D6" s="535"/>
      <c r="E6" s="535"/>
      <c r="F6" s="535"/>
      <c r="G6" s="165"/>
      <c r="H6" s="390" t="s">
        <v>448</v>
      </c>
      <c r="I6" s="12"/>
      <c r="J6" s="12"/>
      <c r="K6" s="12"/>
      <c r="L6" s="12"/>
      <c r="M6" s="65"/>
    </row>
    <row r="7" spans="2:13" ht="13.5" thickBot="1" x14ac:dyDescent="0.25">
      <c r="B7" s="64"/>
      <c r="C7" s="126"/>
      <c r="D7" s="127"/>
      <c r="E7" s="127"/>
      <c r="F7" s="127"/>
      <c r="G7" s="128"/>
      <c r="H7" s="12"/>
      <c r="I7" s="12"/>
      <c r="J7" s="12"/>
      <c r="K7" s="12"/>
      <c r="L7" s="12"/>
      <c r="M7" s="65"/>
    </row>
    <row r="8" spans="2:13" ht="139.9" customHeight="1" thickBot="1" x14ac:dyDescent="0.25">
      <c r="B8" s="64"/>
      <c r="C8" s="884" t="s">
        <v>679</v>
      </c>
      <c r="D8" s="909"/>
      <c r="E8" s="909"/>
      <c r="F8" s="909"/>
      <c r="G8" s="909"/>
      <c r="H8" s="909"/>
      <c r="I8" s="909"/>
      <c r="J8" s="909"/>
      <c r="K8" s="909"/>
      <c r="L8" s="503" t="s">
        <v>450</v>
      </c>
      <c r="M8" s="65"/>
    </row>
    <row r="9" spans="2:13" ht="12.75" customHeight="1" thickBot="1" x14ac:dyDescent="0.25">
      <c r="B9" s="64"/>
      <c r="C9" s="530"/>
      <c r="D9" s="533"/>
      <c r="E9" s="533"/>
      <c r="F9" s="533"/>
      <c r="G9" s="533"/>
      <c r="H9" s="533"/>
      <c r="I9" s="533"/>
      <c r="J9" s="533"/>
      <c r="K9" s="533"/>
      <c r="L9" s="533"/>
      <c r="M9" s="65"/>
    </row>
    <row r="10" spans="2:13" ht="82.5" customHeight="1" thickBot="1" x14ac:dyDescent="0.25">
      <c r="B10" s="64"/>
      <c r="C10" s="880" t="s">
        <v>103</v>
      </c>
      <c r="D10" s="910"/>
      <c r="E10" s="910"/>
      <c r="F10" s="910"/>
      <c r="G10" s="910"/>
      <c r="H10" s="910"/>
      <c r="I10" s="910"/>
      <c r="J10" s="910"/>
      <c r="K10" s="910"/>
      <c r="L10" s="503" t="s">
        <v>450</v>
      </c>
      <c r="M10" s="65"/>
    </row>
    <row r="11" spans="2:13" ht="9" customHeight="1" x14ac:dyDescent="0.2">
      <c r="B11" s="64"/>
      <c r="C11" s="528"/>
      <c r="D11" s="534"/>
      <c r="E11" s="534"/>
      <c r="F11" s="534"/>
      <c r="G11" s="534"/>
      <c r="H11" s="534"/>
      <c r="I11" s="534"/>
      <c r="J11" s="534"/>
      <c r="K11" s="534"/>
      <c r="L11" s="534"/>
      <c r="M11" s="65"/>
    </row>
    <row r="12" spans="2:13" s="131" customFormat="1" ht="9.75" customHeight="1" thickBot="1" x14ac:dyDescent="0.25">
      <c r="B12" s="129"/>
      <c r="C12" s="528"/>
      <c r="D12" s="534"/>
      <c r="E12" s="534"/>
      <c r="F12" s="534"/>
      <c r="G12" s="534"/>
      <c r="H12" s="534"/>
      <c r="I12" s="534"/>
      <c r="J12" s="534"/>
      <c r="K12" s="534"/>
      <c r="L12" s="219"/>
      <c r="M12" s="130"/>
    </row>
    <row r="13" spans="2:13" s="131" customFormat="1" ht="49.5" customHeight="1" thickBot="1" x14ac:dyDescent="0.25">
      <c r="B13" s="129"/>
      <c r="C13" s="913" t="s">
        <v>696</v>
      </c>
      <c r="D13" s="914"/>
      <c r="E13" s="914"/>
      <c r="F13" s="914"/>
      <c r="G13" s="914"/>
      <c r="H13" s="914"/>
      <c r="I13" s="914"/>
      <c r="J13" s="914"/>
      <c r="K13" s="915"/>
      <c r="L13" s="219"/>
      <c r="M13" s="130"/>
    </row>
    <row r="14" spans="2:13" ht="15.75" customHeight="1" x14ac:dyDescent="0.2">
      <c r="B14" s="64"/>
      <c r="C14" s="532"/>
      <c r="D14" s="132"/>
      <c r="E14" s="132"/>
      <c r="F14" s="132"/>
      <c r="G14" s="132"/>
      <c r="H14" s="132"/>
      <c r="I14" s="132"/>
      <c r="J14" s="132"/>
      <c r="K14" s="132"/>
      <c r="L14" s="132"/>
      <c r="M14" s="65"/>
    </row>
    <row r="15" spans="2:13" ht="13.5" customHeight="1" thickBot="1" x14ac:dyDescent="0.3">
      <c r="B15" s="64"/>
      <c r="C15" s="502" t="s">
        <v>105</v>
      </c>
      <c r="D15" s="132"/>
      <c r="E15" s="132"/>
      <c r="F15" s="132"/>
      <c r="G15" s="132"/>
      <c r="H15" s="132"/>
      <c r="I15" s="132"/>
      <c r="J15" s="132"/>
      <c r="K15" s="132"/>
      <c r="L15" s="132"/>
      <c r="M15" s="65"/>
    </row>
    <row r="16" spans="2:13" ht="36.75" customHeight="1" thickBot="1" x14ac:dyDescent="0.25">
      <c r="B16" s="64"/>
      <c r="C16" s="880" t="s">
        <v>106</v>
      </c>
      <c r="D16" s="910"/>
      <c r="E16" s="910"/>
      <c r="F16" s="910"/>
      <c r="G16" s="910"/>
      <c r="H16" s="910"/>
      <c r="I16" s="910"/>
      <c r="J16" s="910"/>
      <c r="K16" s="910"/>
      <c r="L16" s="503" t="s">
        <v>450</v>
      </c>
      <c r="M16" s="65"/>
    </row>
    <row r="17" spans="2:13" ht="13.5" customHeight="1" x14ac:dyDescent="0.2">
      <c r="B17" s="64"/>
      <c r="C17" s="911" t="s">
        <v>107</v>
      </c>
      <c r="D17" s="912"/>
      <c r="E17" s="912"/>
      <c r="F17" s="912"/>
      <c r="G17" s="912"/>
      <c r="H17" s="912"/>
      <c r="I17" s="912"/>
      <c r="J17" s="912"/>
      <c r="K17" s="912"/>
      <c r="L17" s="523"/>
      <c r="M17" s="65"/>
    </row>
    <row r="18" spans="2:13" ht="13.5" customHeight="1" x14ac:dyDescent="0.2">
      <c r="B18" s="64"/>
      <c r="C18" s="132"/>
      <c r="D18" s="132"/>
      <c r="E18" s="132"/>
      <c r="F18" s="132"/>
      <c r="G18" s="132"/>
      <c r="H18" s="132"/>
      <c r="I18" s="132"/>
      <c r="J18" s="132"/>
      <c r="K18" s="132"/>
      <c r="L18" s="132"/>
      <c r="M18" s="65"/>
    </row>
    <row r="19" spans="2:13" ht="13.5" thickBot="1" x14ac:dyDescent="0.25">
      <c r="B19" s="64"/>
      <c r="C19" s="12"/>
      <c r="D19" s="12"/>
      <c r="E19" s="12"/>
      <c r="F19" s="12"/>
      <c r="G19" s="12"/>
      <c r="H19" s="12"/>
      <c r="I19" s="12"/>
      <c r="J19" s="12"/>
      <c r="K19" s="12"/>
      <c r="L19" s="12"/>
      <c r="M19" s="65"/>
    </row>
    <row r="20" spans="2:13" s="70" customFormat="1" ht="60" customHeight="1" x14ac:dyDescent="0.25">
      <c r="B20" s="76"/>
      <c r="C20" s="903" t="s">
        <v>108</v>
      </c>
      <c r="D20" s="904"/>
      <c r="E20" s="904"/>
      <c r="F20" s="904"/>
      <c r="G20" s="904"/>
      <c r="H20" s="904"/>
      <c r="I20" s="904"/>
      <c r="J20" s="905"/>
      <c r="K20" s="406"/>
      <c r="L20" s="406"/>
      <c r="M20" s="77"/>
    </row>
    <row r="21" spans="2:13" s="70" customFormat="1" ht="24.75" customHeight="1" thickBot="1" x14ac:dyDescent="0.25">
      <c r="B21" s="76"/>
      <c r="C21" s="906" t="s">
        <v>109</v>
      </c>
      <c r="D21" s="907"/>
      <c r="E21" s="907"/>
      <c r="F21" s="907"/>
      <c r="G21" s="907"/>
      <c r="H21" s="907"/>
      <c r="I21" s="907"/>
      <c r="J21" s="908"/>
      <c r="K21" s="439"/>
      <c r="L21" s="439"/>
      <c r="M21" s="77"/>
    </row>
    <row r="22" spans="2:13" s="116" customFormat="1" ht="51" x14ac:dyDescent="0.2">
      <c r="B22" s="114"/>
      <c r="C22" s="436" t="s">
        <v>110</v>
      </c>
      <c r="D22" s="437" t="s">
        <v>111</v>
      </c>
      <c r="E22" s="438" t="s">
        <v>112</v>
      </c>
      <c r="F22" s="437" t="s">
        <v>113</v>
      </c>
      <c r="G22" s="437" t="s">
        <v>114</v>
      </c>
      <c r="H22" s="437" t="s">
        <v>34</v>
      </c>
      <c r="I22" s="437" t="s">
        <v>115</v>
      </c>
      <c r="J22" s="440" t="s">
        <v>116</v>
      </c>
      <c r="K22" s="434"/>
      <c r="L22" s="434"/>
      <c r="M22" s="432"/>
    </row>
    <row r="23" spans="2:13" ht="57" customHeight="1" x14ac:dyDescent="0.2">
      <c r="B23" s="64"/>
      <c r="C23" s="213"/>
      <c r="D23" s="214"/>
      <c r="E23" s="214"/>
      <c r="F23" s="214"/>
      <c r="G23" s="214"/>
      <c r="H23" s="214"/>
      <c r="I23" s="215"/>
      <c r="J23" s="215"/>
      <c r="K23" s="404"/>
      <c r="L23" s="404"/>
      <c r="M23" s="433"/>
    </row>
    <row r="24" spans="2:13" ht="57" customHeight="1" x14ac:dyDescent="0.2">
      <c r="B24" s="64"/>
      <c r="C24" s="216"/>
      <c r="D24" s="217"/>
      <c r="E24" s="217"/>
      <c r="F24" s="217"/>
      <c r="G24" s="217"/>
      <c r="H24" s="214"/>
      <c r="I24" s="215"/>
      <c r="J24" s="215"/>
      <c r="K24" s="404"/>
      <c r="L24" s="404"/>
      <c r="M24" s="433"/>
    </row>
    <row r="25" spans="2:13" ht="49.5" customHeight="1" x14ac:dyDescent="0.2">
      <c r="B25" s="64"/>
      <c r="C25" s="216"/>
      <c r="D25" s="217"/>
      <c r="E25" s="217"/>
      <c r="F25" s="217"/>
      <c r="G25" s="217"/>
      <c r="H25" s="214"/>
      <c r="I25" s="215"/>
      <c r="J25" s="215"/>
      <c r="K25" s="404"/>
      <c r="L25" s="404"/>
      <c r="M25" s="433"/>
    </row>
    <row r="26" spans="2:13" ht="100.5" customHeight="1" thickBot="1" x14ac:dyDescent="0.25">
      <c r="B26" s="64"/>
      <c r="C26" s="211" t="s">
        <v>117</v>
      </c>
      <c r="D26" s="212"/>
      <c r="E26" s="212"/>
      <c r="F26" s="212"/>
      <c r="G26" s="212"/>
      <c r="H26" s="212"/>
      <c r="I26" s="218"/>
      <c r="J26" s="218"/>
      <c r="K26" s="404"/>
      <c r="L26" s="404"/>
      <c r="M26" s="433"/>
    </row>
    <row r="27" spans="2:13" ht="13.5" thickBot="1" x14ac:dyDescent="0.25">
      <c r="B27" s="68"/>
      <c r="C27" s="111"/>
      <c r="D27" s="111"/>
      <c r="E27" s="111"/>
      <c r="F27" s="111"/>
      <c r="G27" s="111"/>
      <c r="H27" s="111"/>
      <c r="I27" s="111"/>
      <c r="J27" s="111"/>
      <c r="K27" s="111"/>
      <c r="L27" s="111"/>
      <c r="M27" s="69"/>
    </row>
    <row r="28" spans="2:13" x14ac:dyDescent="0.2">
      <c r="M28" s="435"/>
    </row>
    <row r="29" spans="2:13" x14ac:dyDescent="0.2">
      <c r="M29" s="118"/>
    </row>
  </sheetData>
  <sheetProtection formatCells="0" insertRows="0" deleteRows="0" selectLockedCells="1" sort="0"/>
  <mergeCells count="7">
    <mergeCell ref="C20:J20"/>
    <mergeCell ref="C21:J21"/>
    <mergeCell ref="C8:K8"/>
    <mergeCell ref="C16:K16"/>
    <mergeCell ref="C17:K17"/>
    <mergeCell ref="C10:K10"/>
    <mergeCell ref="C13:K13"/>
  </mergeCells>
  <phoneticPr fontId="13" type="noConversion"/>
  <dataValidations count="3">
    <dataValidation allowBlank="1" showDropDown="1" showInputMessage="1" showErrorMessage="1" sqref="H5" xr:uid="{00000000-0002-0000-0300-000000000000}"/>
    <dataValidation type="list" allowBlank="1" showInputMessage="1" showErrorMessage="1" sqref="L16 L10 L12" xr:uid="{00000000-0002-0000-0300-000001000000}">
      <formula1>ListYN</formula1>
    </dataValidation>
    <dataValidation type="list" allowBlank="1" showInputMessage="1" showErrorMessage="1" errorTitle="Required question" error="Please select Yes or No" sqref="L8" xr:uid="{00000000-0002-0000-0300-000002000000}">
      <formula1>ListYN</formula1>
    </dataValidation>
  </dataValidations>
  <pageMargins left="0.75" right="0.75" top="1" bottom="1" header="0.5" footer="0.5"/>
  <pageSetup scale="93" orientation="landscape" r:id="rId1"/>
  <headerFooter alignWithMargins="0">
    <oddFooter>&amp;L&amp;F</oddFooter>
  </headerFooter>
  <rowBreaks count="1" manualBreakCount="1">
    <brk id="17" min="2" max="10" man="1"/>
  </rowBreaks>
  <extLst>
    <ext xmlns:x14="http://schemas.microsoft.com/office/spreadsheetml/2009/9/main" uri="{CCE6A557-97BC-4b89-ADB6-D9C93CAAB3DF}">
      <x14:dataValidations xmlns:xm="http://schemas.microsoft.com/office/excel/2006/main" count="3">
        <x14:dataValidation type="list" allowBlank="1" showInputMessage="1" showErrorMessage="1" errorTitle="Required question" error="Must select one option" promptTitle="Select one" xr:uid="{00000000-0002-0000-0300-000003000000}">
          <x14:formula1>
            <xm:f>'DOER reference'!$C$2:$C$8</xm:f>
          </x14:formula1>
          <xm:sqref>H4</xm:sqref>
        </x14:dataValidation>
        <x14:dataValidation type="list" allowBlank="1" showInputMessage="1" showErrorMessage="1" errorTitle="Required question" error="Must select one answer" xr:uid="{00000000-0002-0000-0300-000004000000}">
          <x14:formula1>
            <xm:f>'DOER reference'!$D$2:$D$3</xm:f>
          </x14:formula1>
          <xm:sqref>H6</xm:sqref>
        </x14:dataValidation>
        <x14:dataValidation type="list" allowBlank="1" showInputMessage="1" showErrorMessage="1" xr:uid="{00000000-0002-0000-0300-000005000000}">
          <x14:formula1>
            <xm:f>'DOER reference'!$E$10:$E$13</xm:f>
          </x14:formula1>
          <xm:sqref>H23:H26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theme="8" tint="0.59999389629810485"/>
  </sheetPr>
  <dimension ref="B1:K27"/>
  <sheetViews>
    <sheetView showGridLines="0" zoomScale="85" zoomScaleNormal="85" workbookViewId="0">
      <selection activeCell="F7" sqref="F7"/>
    </sheetView>
  </sheetViews>
  <sheetFormatPr defaultColWidth="0" defaultRowHeight="0" customHeight="1" zeroHeight="1" x14ac:dyDescent="0.2"/>
  <cols>
    <col min="1" max="1" width="3.42578125" style="60" customWidth="1"/>
    <col min="2" max="2" width="3.7109375" style="60" customWidth="1"/>
    <col min="3" max="3" width="11" style="60" customWidth="1"/>
    <col min="4" max="4" width="13.42578125" style="60" customWidth="1"/>
    <col min="5" max="5" width="12.85546875" style="60" customWidth="1"/>
    <col min="6" max="6" width="11.42578125" style="60" customWidth="1"/>
    <col min="7" max="8" width="14.7109375" style="60" customWidth="1"/>
    <col min="9" max="9" width="12.5703125" style="60" customWidth="1"/>
    <col min="10" max="10" width="14" style="60" customWidth="1"/>
    <col min="11" max="11" width="12.85546875" style="60" customWidth="1"/>
    <col min="12" max="12" width="8.85546875" style="60" customWidth="1"/>
    <col min="13" max="16384" width="0" style="60" hidden="1"/>
  </cols>
  <sheetData>
    <row r="1" spans="2:11" ht="13.5" thickBot="1" x14ac:dyDescent="0.25"/>
    <row r="2" spans="2:11" ht="12.75" x14ac:dyDescent="0.2">
      <c r="B2" s="61"/>
      <c r="C2" s="62"/>
      <c r="D2" s="62"/>
      <c r="E2" s="62"/>
      <c r="F2" s="62"/>
      <c r="G2" s="62"/>
      <c r="H2" s="62"/>
      <c r="I2" s="62"/>
      <c r="J2" s="62"/>
      <c r="K2" s="63"/>
    </row>
    <row r="3" spans="2:11" ht="15" x14ac:dyDescent="0.25">
      <c r="B3" s="64"/>
      <c r="C3" s="299" t="s">
        <v>118</v>
      </c>
      <c r="D3" s="12"/>
      <c r="E3" s="12"/>
      <c r="F3" s="12"/>
      <c r="G3" s="12"/>
      <c r="H3" s="12"/>
      <c r="I3" s="12"/>
      <c r="J3" s="12"/>
      <c r="K3" s="65"/>
    </row>
    <row r="4" spans="2:11" ht="13.5" thickBot="1" x14ac:dyDescent="0.25">
      <c r="B4" s="64"/>
      <c r="C4" s="12"/>
      <c r="D4" s="12"/>
      <c r="E4" s="12"/>
      <c r="F4" s="12"/>
      <c r="G4" s="12"/>
      <c r="H4" s="12"/>
      <c r="I4" s="12"/>
      <c r="J4" s="12"/>
      <c r="K4" s="69"/>
    </row>
    <row r="5" spans="2:11" s="70" customFormat="1" ht="15" x14ac:dyDescent="0.25">
      <c r="B5" s="76"/>
      <c r="C5" s="916" t="s">
        <v>119</v>
      </c>
      <c r="D5" s="917"/>
      <c r="E5" s="917"/>
      <c r="F5" s="917"/>
      <c r="G5" s="917"/>
      <c r="H5" s="917"/>
      <c r="I5" s="917"/>
      <c r="J5" s="917"/>
      <c r="K5" s="917"/>
    </row>
    <row r="6" spans="2:11" s="116" customFormat="1" ht="63.75" x14ac:dyDescent="0.2">
      <c r="B6" s="114"/>
      <c r="C6" s="133" t="s">
        <v>110</v>
      </c>
      <c r="D6" s="134" t="s">
        <v>111</v>
      </c>
      <c r="E6" s="135" t="s">
        <v>112</v>
      </c>
      <c r="F6" s="134" t="s">
        <v>113</v>
      </c>
      <c r="G6" s="134" t="s">
        <v>114</v>
      </c>
      <c r="H6" s="134" t="s">
        <v>34</v>
      </c>
      <c r="I6" s="134" t="s">
        <v>115</v>
      </c>
      <c r="J6" s="134" t="s">
        <v>116</v>
      </c>
      <c r="K6" s="115"/>
    </row>
    <row r="7" spans="2:11" ht="57" customHeight="1" x14ac:dyDescent="0.2">
      <c r="B7" s="64"/>
      <c r="C7" s="166" t="s">
        <v>120</v>
      </c>
      <c r="D7" s="167" t="s">
        <v>121</v>
      </c>
      <c r="E7" s="167" t="s">
        <v>122</v>
      </c>
      <c r="F7" s="167" t="s">
        <v>123</v>
      </c>
      <c r="G7" s="167" t="s">
        <v>124</v>
      </c>
      <c r="H7" s="167" t="s">
        <v>125</v>
      </c>
      <c r="I7" s="168">
        <v>42675</v>
      </c>
      <c r="J7" s="168">
        <v>43121</v>
      </c>
      <c r="K7" s="65"/>
    </row>
    <row r="8" spans="2:11" ht="57" customHeight="1" x14ac:dyDescent="0.2">
      <c r="B8" s="64"/>
      <c r="C8" s="169"/>
      <c r="D8" s="170"/>
      <c r="E8" s="170"/>
      <c r="F8" s="170"/>
      <c r="G8" s="170"/>
      <c r="H8" s="167"/>
      <c r="I8" s="168"/>
      <c r="J8" s="168"/>
      <c r="K8" s="65"/>
    </row>
    <row r="9" spans="2:11" ht="100.5" customHeight="1" thickBot="1" x14ac:dyDescent="0.25">
      <c r="B9" s="64"/>
      <c r="C9" s="171"/>
      <c r="D9" s="172"/>
      <c r="E9" s="172"/>
      <c r="F9" s="172"/>
      <c r="G9" s="172"/>
      <c r="H9" s="172"/>
      <c r="I9" s="173"/>
      <c r="J9" s="173"/>
      <c r="K9" s="65"/>
    </row>
    <row r="10" spans="2:11" ht="13.5" thickBot="1" x14ac:dyDescent="0.25">
      <c r="B10" s="68"/>
      <c r="C10" s="111"/>
      <c r="D10" s="111"/>
      <c r="E10" s="111"/>
      <c r="F10" s="111"/>
      <c r="G10" s="111"/>
      <c r="H10" s="111"/>
      <c r="I10" s="111"/>
      <c r="J10" s="111"/>
      <c r="K10" s="111"/>
    </row>
    <row r="11" spans="2:11" ht="12.75" x14ac:dyDescent="0.2"/>
    <row r="12" spans="2:11" ht="12.75" customHeight="1" x14ac:dyDescent="0.2"/>
    <row r="13" spans="2:11" ht="12.75" customHeight="1" x14ac:dyDescent="0.2"/>
    <row r="14" spans="2:11" ht="12.75" customHeight="1" x14ac:dyDescent="0.2"/>
    <row r="15" spans="2:11" ht="12.75" customHeight="1" x14ac:dyDescent="0.2"/>
    <row r="16" spans="2:11"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sheetData>
  <sheetProtection password="CFCB" sheet="1" objects="1" scenarios="1" formatCells="0" selectLockedCells="1"/>
  <mergeCells count="1">
    <mergeCell ref="C5:K5"/>
  </mergeCells>
  <phoneticPr fontId="0" type="noConversion"/>
  <hyperlinks>
    <hyperlink ref="C3" location="'Crit 1 &amp; 2'!A1" display="Click here to return to Table 1" xr:uid="{00000000-0004-0000-0400-000000000000}"/>
  </hyperlinks>
  <pageMargins left="0.75" right="0.75" top="1" bottom="1" header="0.5" footer="0.5"/>
  <pageSetup scale="93" orientation="landscape" r:id="rId1"/>
  <headerFooter alignWithMargins="0">
    <oddFooter>&amp;L&amp;F</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'DOER reference'!$E$11:$E$13</xm:f>
          </x14:formula1>
          <xm:sqref>H7:H9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FFFF00"/>
    <pageSetUpPr fitToPage="1"/>
  </sheetPr>
  <dimension ref="A1:T112"/>
  <sheetViews>
    <sheetView showGridLines="0" tabSelected="1" topLeftCell="A31" zoomScale="90" zoomScaleNormal="90" workbookViewId="0">
      <selection activeCell="C48" sqref="C48"/>
    </sheetView>
  </sheetViews>
  <sheetFormatPr defaultColWidth="0" defaultRowHeight="12.75" zeroHeight="1" x14ac:dyDescent="0.2"/>
  <cols>
    <col min="1" max="1" width="3.42578125" style="60" customWidth="1"/>
    <col min="2" max="2" width="3.140625" style="60" customWidth="1"/>
    <col min="3" max="3" width="53" style="60" customWidth="1"/>
    <col min="4" max="4" width="2" style="60" customWidth="1"/>
    <col min="5" max="5" width="27.28515625" style="60" customWidth="1"/>
    <col min="6" max="11" width="10.28515625" style="60" customWidth="1"/>
    <col min="12" max="12" width="17.85546875" style="60" customWidth="1"/>
    <col min="13" max="13" width="2.5703125" style="60" customWidth="1"/>
    <col min="14" max="14" width="4" style="60" customWidth="1"/>
    <col min="15" max="20" width="0" style="60" hidden="1" customWidth="1"/>
    <col min="21" max="16384" width="8.85546875" style="60" hidden="1"/>
  </cols>
  <sheetData>
    <row r="1" spans="2:13" ht="13.5" thickBot="1" x14ac:dyDescent="0.25"/>
    <row r="2" spans="2:13" x14ac:dyDescent="0.2">
      <c r="B2" s="61"/>
      <c r="C2" s="62"/>
      <c r="D2" s="62"/>
      <c r="E2" s="62"/>
      <c r="F2" s="62"/>
      <c r="G2" s="62"/>
      <c r="H2" s="62"/>
      <c r="I2" s="62"/>
      <c r="J2" s="62"/>
      <c r="K2" s="62"/>
      <c r="L2" s="62"/>
      <c r="M2" s="63"/>
    </row>
    <row r="3" spans="2:13" ht="31.15" customHeight="1" x14ac:dyDescent="0.2">
      <c r="B3" s="64"/>
      <c r="C3" s="99" t="s">
        <v>126</v>
      </c>
      <c r="D3" s="99"/>
      <c r="E3" s="99"/>
      <c r="F3" s="112"/>
      <c r="G3" s="112"/>
      <c r="H3" s="112"/>
      <c r="I3" s="112"/>
      <c r="J3" s="112"/>
      <c r="K3" s="112"/>
      <c r="L3" s="112"/>
      <c r="M3" s="113"/>
    </row>
    <row r="4" spans="2:13" ht="12" customHeight="1" x14ac:dyDescent="0.2">
      <c r="B4" s="66"/>
      <c r="C4" s="112"/>
      <c r="D4" s="112"/>
      <c r="E4" s="112"/>
      <c r="F4" s="112"/>
      <c r="G4" s="112"/>
      <c r="H4" s="112"/>
      <c r="I4" s="112"/>
      <c r="J4" s="112"/>
      <c r="K4" s="112"/>
      <c r="L4" s="112"/>
      <c r="M4" s="119"/>
    </row>
    <row r="5" spans="2:13" ht="15.75" customHeight="1" x14ac:dyDescent="0.2">
      <c r="B5" s="64"/>
      <c r="C5" s="112" t="s">
        <v>127</v>
      </c>
      <c r="D5" s="112"/>
      <c r="E5" s="112"/>
      <c r="F5" s="112"/>
      <c r="G5" s="112"/>
      <c r="H5" s="112"/>
      <c r="I5" s="112"/>
      <c r="J5" s="112"/>
      <c r="K5" s="112"/>
      <c r="L5" s="112"/>
      <c r="M5" s="113"/>
    </row>
    <row r="6" spans="2:13" ht="9" customHeight="1" x14ac:dyDescent="0.2">
      <c r="B6" s="64"/>
      <c r="C6" s="112"/>
      <c r="D6" s="112"/>
      <c r="E6" s="112"/>
      <c r="F6" s="112"/>
      <c r="G6" s="112"/>
      <c r="H6" s="112"/>
      <c r="I6" s="112"/>
      <c r="J6" s="112"/>
      <c r="K6" s="112"/>
      <c r="L6" s="112"/>
      <c r="M6" s="113"/>
    </row>
    <row r="7" spans="2:13" ht="15" x14ac:dyDescent="0.25">
      <c r="B7" s="64"/>
      <c r="C7" s="918" t="s">
        <v>128</v>
      </c>
      <c r="D7" s="918"/>
      <c r="E7" s="918"/>
      <c r="F7" s="919" t="s">
        <v>129</v>
      </c>
      <c r="G7" s="919"/>
      <c r="H7" s="112"/>
      <c r="I7" s="112"/>
      <c r="J7" s="320"/>
      <c r="K7" s="320"/>
      <c r="L7" s="112"/>
      <c r="M7" s="113"/>
    </row>
    <row r="8" spans="2:13" ht="40.15" customHeight="1" x14ac:dyDescent="0.2">
      <c r="B8" s="64"/>
      <c r="C8" s="880" t="s">
        <v>680</v>
      </c>
      <c r="D8" s="880"/>
      <c r="E8" s="880"/>
      <c r="F8" s="880"/>
      <c r="G8" s="880"/>
      <c r="H8" s="880"/>
      <c r="I8" s="320"/>
      <c r="J8" s="326"/>
      <c r="K8" s="326"/>
      <c r="L8" s="326"/>
      <c r="M8" s="113"/>
    </row>
    <row r="9" spans="2:13" ht="19.5" customHeight="1" x14ac:dyDescent="0.2">
      <c r="B9" s="64"/>
      <c r="C9" s="884" t="s">
        <v>130</v>
      </c>
      <c r="D9" s="884"/>
      <c r="E9" s="884"/>
      <c r="F9" s="884"/>
      <c r="G9" s="884"/>
      <c r="H9" s="884"/>
      <c r="I9" s="884"/>
      <c r="J9" s="884"/>
      <c r="K9" s="884"/>
      <c r="L9" s="884"/>
      <c r="M9" s="113"/>
    </row>
    <row r="10" spans="2:13" ht="19.5" customHeight="1" x14ac:dyDescent="0.2">
      <c r="B10" s="64"/>
      <c r="C10" s="884" t="s">
        <v>131</v>
      </c>
      <c r="D10" s="884"/>
      <c r="E10" s="884"/>
      <c r="F10" s="884"/>
      <c r="G10" s="884"/>
      <c r="H10" s="884"/>
      <c r="I10" s="884"/>
      <c r="J10" s="388"/>
      <c r="K10" s="388"/>
      <c r="L10" s="327"/>
      <c r="M10" s="113"/>
    </row>
    <row r="11" spans="2:13" ht="9" customHeight="1" x14ac:dyDescent="0.2">
      <c r="B11" s="64"/>
      <c r="C11" s="300"/>
      <c r="D11" s="300"/>
      <c r="E11" s="300"/>
      <c r="F11" s="300"/>
      <c r="G11" s="300"/>
      <c r="H11" s="300"/>
      <c r="I11" s="300"/>
      <c r="J11" s="300"/>
      <c r="K11" s="300"/>
      <c r="L11" s="300"/>
      <c r="M11" s="113"/>
    </row>
    <row r="12" spans="2:13" ht="48.75" customHeight="1" x14ac:dyDescent="0.2">
      <c r="B12" s="64"/>
      <c r="C12" s="925" t="s">
        <v>132</v>
      </c>
      <c r="D12" s="925"/>
      <c r="E12" s="925"/>
      <c r="F12" s="925"/>
      <c r="G12" s="925"/>
      <c r="H12" s="925"/>
      <c r="I12" s="925"/>
      <c r="J12" s="925"/>
      <c r="K12" s="925"/>
      <c r="L12" s="925"/>
      <c r="M12" s="113"/>
    </row>
    <row r="13" spans="2:13" ht="12.6" customHeight="1" x14ac:dyDescent="0.2">
      <c r="B13" s="64"/>
      <c r="C13" s="509"/>
      <c r="D13" s="509"/>
      <c r="E13" s="509"/>
      <c r="F13" s="509"/>
      <c r="G13" s="509"/>
      <c r="H13" s="509"/>
      <c r="I13" s="509"/>
      <c r="J13" s="509"/>
      <c r="K13" s="509"/>
      <c r="L13" s="509"/>
      <c r="M13" s="113"/>
    </row>
    <row r="14" spans="2:13" ht="18.95" customHeight="1" thickBot="1" x14ac:dyDescent="0.25">
      <c r="B14" s="64"/>
      <c r="C14" s="300" t="s">
        <v>133</v>
      </c>
      <c r="D14" s="300"/>
      <c r="E14" s="300"/>
      <c r="F14" s="300"/>
      <c r="G14" s="300"/>
      <c r="H14" s="300"/>
      <c r="I14" s="300"/>
      <c r="J14" s="300"/>
      <c r="K14" s="300"/>
      <c r="L14" s="300"/>
      <c r="M14" s="113"/>
    </row>
    <row r="15" spans="2:13" ht="24.95" customHeight="1" thickBot="1" x14ac:dyDescent="0.25">
      <c r="B15" s="64"/>
      <c r="C15" s="922" t="s">
        <v>134</v>
      </c>
      <c r="D15" s="923"/>
      <c r="E15" s="923"/>
      <c r="F15" s="923"/>
      <c r="G15" s="923"/>
      <c r="H15" s="923"/>
      <c r="I15" s="923"/>
      <c r="J15" s="923"/>
      <c r="K15" s="924"/>
      <c r="L15" s="512" t="s">
        <v>30</v>
      </c>
      <c r="M15" s="113"/>
    </row>
    <row r="16" spans="2:13" ht="18" customHeight="1" thickBot="1" x14ac:dyDescent="0.25">
      <c r="B16" s="64"/>
      <c r="C16" s="922" t="str">
        <f>IF(L15="Yes","What is the name of the Regional School District?","")</f>
        <v/>
      </c>
      <c r="D16" s="923"/>
      <c r="E16" s="923"/>
      <c r="F16" s="923"/>
      <c r="G16" s="923"/>
      <c r="H16" s="923"/>
      <c r="I16" s="923"/>
      <c r="J16" s="923"/>
      <c r="K16" s="924"/>
      <c r="L16" s="511"/>
      <c r="M16" s="113"/>
    </row>
    <row r="17" spans="2:13" ht="18" customHeight="1" thickBot="1" x14ac:dyDescent="0.25">
      <c r="B17" s="64"/>
      <c r="C17" s="922" t="str">
        <f>IF(L15="Yes","Does the community prorate energy use from the Regional School Disctrict based on a percentage of total energy consumption, or are only certain buildings included?","")</f>
        <v/>
      </c>
      <c r="D17" s="923"/>
      <c r="E17" s="923"/>
      <c r="F17" s="923"/>
      <c r="G17" s="923"/>
      <c r="H17" s="923"/>
      <c r="I17" s="923"/>
      <c r="J17" s="923"/>
      <c r="K17" s="924"/>
      <c r="L17" s="511"/>
      <c r="M17" s="113"/>
    </row>
    <row r="18" spans="2:13" ht="18" customHeight="1" thickBot="1" x14ac:dyDescent="0.25">
      <c r="B18" s="64"/>
      <c r="C18" s="922" t="str">
        <f>IF(AND(L15="Yes",L17="Percentage"),"Please enter the percentage of Regional School District Energy included.",IF(AND(L15="Yes",L17="Buildings"),"Please enter the names of the buildings included.",IF(AND(L15="Yes",L17=""),"Please respond to the question above.","")))</f>
        <v/>
      </c>
      <c r="D18" s="923"/>
      <c r="E18" s="923"/>
      <c r="F18" s="923"/>
      <c r="G18" s="923"/>
      <c r="H18" s="923"/>
      <c r="I18" s="923"/>
      <c r="J18" s="923"/>
      <c r="K18" s="924"/>
      <c r="L18" s="511"/>
      <c r="M18" s="113"/>
    </row>
    <row r="19" spans="2:13" ht="10.5" customHeight="1" x14ac:dyDescent="0.2">
      <c r="B19" s="64"/>
      <c r="C19" s="300"/>
      <c r="D19" s="300"/>
      <c r="E19" s="300"/>
      <c r="F19" s="300"/>
      <c r="G19" s="300"/>
      <c r="H19" s="300"/>
      <c r="I19" s="300"/>
      <c r="J19" s="300"/>
      <c r="K19" s="300"/>
      <c r="L19" s="300"/>
      <c r="M19" s="113"/>
    </row>
    <row r="20" spans="2:13" ht="21.75" customHeight="1" x14ac:dyDescent="0.25">
      <c r="B20" s="64"/>
      <c r="C20" s="920" t="s">
        <v>135</v>
      </c>
      <c r="D20" s="920"/>
      <c r="E20" s="920"/>
      <c r="F20" s="921" t="s">
        <v>136</v>
      </c>
      <c r="G20" s="921"/>
      <c r="H20" s="12"/>
      <c r="I20" s="320"/>
      <c r="J20" s="12"/>
      <c r="K20" s="12"/>
      <c r="L20" s="12"/>
      <c r="M20" s="113"/>
    </row>
    <row r="21" spans="2:13" ht="15.6" customHeight="1" thickBot="1" x14ac:dyDescent="0.3">
      <c r="B21" s="64"/>
      <c r="C21" s="598"/>
      <c r="D21" s="598"/>
      <c r="E21" s="598"/>
      <c r="F21" s="599"/>
      <c r="G21" s="599"/>
      <c r="H21" s="12"/>
      <c r="I21" s="320"/>
      <c r="J21" s="12"/>
      <c r="K21" s="12"/>
      <c r="L21" s="12"/>
      <c r="M21" s="113"/>
    </row>
    <row r="22" spans="2:13" ht="26.45" customHeight="1" thickBot="1" x14ac:dyDescent="0.25">
      <c r="B22" s="64"/>
      <c r="C22" s="922" t="s">
        <v>137</v>
      </c>
      <c r="D22" s="923"/>
      <c r="E22" s="923"/>
      <c r="F22" s="923"/>
      <c r="G22" s="923"/>
      <c r="H22" s="923"/>
      <c r="I22" s="923"/>
      <c r="J22" s="923"/>
      <c r="K22" s="924"/>
      <c r="L22" s="512" t="s">
        <v>29</v>
      </c>
      <c r="M22" s="113"/>
    </row>
    <row r="23" spans="2:13" ht="28.5" customHeight="1" x14ac:dyDescent="0.2">
      <c r="B23" s="64"/>
      <c r="C23" s="926" t="str">
        <f>IF(L22="Yes",ICF!$B$1,IF(L22="No",ICF!$B$2,""))</f>
        <v>Please provide the date the information in MassEnergyInsight was last verified. By including a date, you are confirming that the information in MEI is accurate and complete (including all fuels and renewable energy) and that you wish to report your Green Community annual energy usage directly through MEI. REMEMBER to load all diesel, gasoline, heating oil and propane energy usage, as well as renewable energy usage that is NOT virtually net-metered, into MEI prior to providing a date that your data is complete.  Also, confirm that Table 3 in MEI matches the data provided in Table 2.</v>
      </c>
      <c r="D23" s="927"/>
      <c r="E23" s="927"/>
      <c r="F23" s="927"/>
      <c r="G23" s="927"/>
      <c r="H23" s="927"/>
      <c r="I23" s="927"/>
      <c r="J23" s="927"/>
      <c r="K23" s="927"/>
      <c r="L23" s="710">
        <v>44139</v>
      </c>
      <c r="M23" s="113"/>
    </row>
    <row r="24" spans="2:13" ht="28.5" customHeight="1" thickBot="1" x14ac:dyDescent="0.25">
      <c r="B24" s="64"/>
      <c r="C24" s="928"/>
      <c r="D24" s="929"/>
      <c r="E24" s="929"/>
      <c r="F24" s="929"/>
      <c r="G24" s="929"/>
      <c r="H24" s="929"/>
      <c r="I24" s="929"/>
      <c r="J24" s="929"/>
      <c r="K24" s="929"/>
      <c r="L24" s="711"/>
      <c r="M24" s="113"/>
    </row>
    <row r="25" spans="2:13" ht="27.6" customHeight="1" x14ac:dyDescent="0.2">
      <c r="B25" s="64"/>
      <c r="C25" s="530"/>
      <c r="D25" s="530"/>
      <c r="E25" s="530"/>
      <c r="F25" s="530"/>
      <c r="G25" s="530"/>
      <c r="H25" s="530"/>
      <c r="I25" s="530"/>
      <c r="J25" s="530"/>
      <c r="K25" s="530"/>
      <c r="L25" s="530"/>
      <c r="M25" s="113"/>
    </row>
    <row r="26" spans="2:13" ht="12.6" customHeight="1" x14ac:dyDescent="0.2">
      <c r="B26" s="64"/>
      <c r="C26" s="12"/>
      <c r="D26" s="12"/>
      <c r="E26" s="12"/>
      <c r="F26" s="12"/>
      <c r="G26" s="12"/>
      <c r="H26" s="12"/>
      <c r="I26" s="12"/>
      <c r="J26" s="12"/>
      <c r="K26" s="12"/>
      <c r="L26" s="12"/>
      <c r="M26" s="65"/>
    </row>
    <row r="27" spans="2:13" ht="17.45" customHeight="1" x14ac:dyDescent="0.25">
      <c r="B27" s="64"/>
      <c r="C27" s="6" t="s">
        <v>138</v>
      </c>
      <c r="D27" s="5"/>
      <c r="E27" s="13"/>
      <c r="F27" s="13"/>
      <c r="G27" s="957" t="s">
        <v>139</v>
      </c>
      <c r="H27" s="957"/>
      <c r="I27" s="13"/>
      <c r="J27" s="13"/>
      <c r="K27" s="13"/>
      <c r="L27" s="13"/>
      <c r="M27" s="65"/>
    </row>
    <row r="28" spans="2:13" ht="51.95" customHeight="1" thickBot="1" x14ac:dyDescent="0.25">
      <c r="B28" s="64"/>
      <c r="C28" s="930" t="s">
        <v>681</v>
      </c>
      <c r="D28" s="930"/>
      <c r="E28" s="930"/>
      <c r="F28" s="930"/>
      <c r="G28" s="930"/>
      <c r="H28" s="930"/>
      <c r="I28" s="930"/>
      <c r="J28" s="930"/>
      <c r="K28" s="930"/>
      <c r="L28" s="930"/>
      <c r="M28" s="120"/>
    </row>
    <row r="29" spans="2:13" ht="24.95" customHeight="1" thickBot="1" x14ac:dyDescent="0.25">
      <c r="B29" s="64"/>
      <c r="C29" s="935" t="s">
        <v>140</v>
      </c>
      <c r="D29" s="936"/>
      <c r="E29" s="936"/>
      <c r="F29" s="936"/>
      <c r="G29" s="936"/>
      <c r="H29" s="936"/>
      <c r="I29" s="936"/>
      <c r="J29" s="936"/>
      <c r="K29" s="937"/>
      <c r="L29" s="513" t="s">
        <v>30</v>
      </c>
      <c r="M29" s="120"/>
    </row>
    <row r="30" spans="2:13" ht="24.95" customHeight="1" x14ac:dyDescent="0.2">
      <c r="B30" s="64"/>
      <c r="C30" s="951" t="str">
        <f>IF(L29="Yes",ICF!$B$6,"")</f>
        <v/>
      </c>
      <c r="D30" s="952"/>
      <c r="E30" s="952"/>
      <c r="F30" s="952"/>
      <c r="G30" s="952"/>
      <c r="H30" s="952"/>
      <c r="I30" s="952"/>
      <c r="J30" s="952"/>
      <c r="K30" s="953"/>
      <c r="L30" s="550" t="str">
        <f>IF(L29="Yes","Provide Date Below","")</f>
        <v/>
      </c>
      <c r="M30" s="120"/>
    </row>
    <row r="31" spans="2:13" ht="24.95" customHeight="1" thickBot="1" x14ac:dyDescent="0.25">
      <c r="B31" s="64"/>
      <c r="C31" s="954"/>
      <c r="D31" s="955"/>
      <c r="E31" s="955"/>
      <c r="F31" s="955"/>
      <c r="G31" s="955"/>
      <c r="H31" s="955"/>
      <c r="I31" s="955"/>
      <c r="J31" s="955"/>
      <c r="K31" s="956"/>
      <c r="L31" s="508"/>
      <c r="M31" s="121"/>
    </row>
    <row r="32" spans="2:13" ht="13.9" customHeight="1" x14ac:dyDescent="0.2">
      <c r="B32" s="64"/>
      <c r="C32" s="12"/>
      <c r="D32" s="12"/>
      <c r="E32" s="14"/>
      <c r="F32" s="15"/>
      <c r="G32" s="15"/>
      <c r="H32" s="15"/>
      <c r="I32" s="15"/>
      <c r="J32" s="15"/>
      <c r="K32" s="15"/>
      <c r="L32" s="15"/>
      <c r="M32" s="121"/>
    </row>
    <row r="33" spans="2:13" ht="16.149999999999999" customHeight="1" thickBot="1" x14ac:dyDescent="0.3">
      <c r="B33" s="64"/>
      <c r="C33" s="5" t="s">
        <v>141</v>
      </c>
      <c r="D33" s="12"/>
      <c r="E33" s="12"/>
      <c r="F33" s="921" t="s">
        <v>142</v>
      </c>
      <c r="G33" s="921"/>
      <c r="H33" s="12"/>
      <c r="I33" s="12"/>
      <c r="J33" s="12"/>
      <c r="K33" s="12"/>
      <c r="L33" s="12"/>
      <c r="M33" s="65"/>
    </row>
    <row r="34" spans="2:13" ht="110.45" customHeight="1" thickBot="1" x14ac:dyDescent="0.25">
      <c r="B34" s="64"/>
      <c r="C34" s="501" t="s">
        <v>143</v>
      </c>
      <c r="D34" s="12"/>
      <c r="E34" s="958" t="s">
        <v>144</v>
      </c>
      <c r="F34" s="958"/>
      <c r="G34" s="958"/>
      <c r="H34" s="958"/>
      <c r="I34" s="958"/>
      <c r="J34" s="958"/>
      <c r="K34" s="958"/>
      <c r="L34" s="512" t="s">
        <v>407</v>
      </c>
      <c r="M34" s="65"/>
    </row>
    <row r="35" spans="2:13" x14ac:dyDescent="0.2">
      <c r="B35" s="64"/>
      <c r="C35" s="12"/>
      <c r="D35" s="12"/>
      <c r="E35" s="12"/>
      <c r="F35" s="12"/>
      <c r="G35" s="12"/>
      <c r="H35" s="12"/>
      <c r="I35" s="12"/>
      <c r="J35" s="12"/>
      <c r="K35" s="12"/>
      <c r="L35" s="12"/>
      <c r="M35" s="65"/>
    </row>
    <row r="36" spans="2:13" ht="17.45" customHeight="1" x14ac:dyDescent="0.25">
      <c r="B36" s="64"/>
      <c r="C36" s="5" t="s">
        <v>145</v>
      </c>
      <c r="D36" s="12"/>
      <c r="E36" s="122"/>
      <c r="F36" s="122"/>
      <c r="G36" s="122"/>
      <c r="H36" s="122"/>
      <c r="I36" s="122"/>
      <c r="J36" s="122"/>
      <c r="K36" s="122"/>
      <c r="L36" s="122"/>
      <c r="M36" s="65"/>
    </row>
    <row r="37" spans="2:13" ht="13.9" customHeight="1" x14ac:dyDescent="0.25">
      <c r="B37" s="64"/>
      <c r="C37" s="931" t="s">
        <v>146</v>
      </c>
      <c r="D37" s="5"/>
      <c r="E37" s="941" t="s">
        <v>147</v>
      </c>
      <c r="F37" s="941"/>
      <c r="G37" s="941"/>
      <c r="H37" s="941"/>
      <c r="I37" s="941"/>
      <c r="J37" s="941"/>
      <c r="K37" s="941"/>
      <c r="L37" s="941"/>
      <c r="M37" s="65"/>
    </row>
    <row r="38" spans="2:13" x14ac:dyDescent="0.2">
      <c r="B38" s="64"/>
      <c r="C38" s="932"/>
      <c r="D38" s="12"/>
      <c r="E38" s="941"/>
      <c r="F38" s="941"/>
      <c r="G38" s="941"/>
      <c r="H38" s="941"/>
      <c r="I38" s="941"/>
      <c r="J38" s="941"/>
      <c r="K38" s="941"/>
      <c r="L38" s="941"/>
      <c r="M38" s="65"/>
    </row>
    <row r="39" spans="2:13" x14ac:dyDescent="0.2">
      <c r="B39" s="64"/>
      <c r="C39" s="932"/>
      <c r="D39" s="12"/>
      <c r="E39" s="941"/>
      <c r="F39" s="941"/>
      <c r="G39" s="941"/>
      <c r="H39" s="941"/>
      <c r="I39" s="941"/>
      <c r="J39" s="941"/>
      <c r="K39" s="941"/>
      <c r="L39" s="941"/>
      <c r="M39" s="65"/>
    </row>
    <row r="40" spans="2:13" ht="49.5" customHeight="1" x14ac:dyDescent="0.2">
      <c r="B40" s="64"/>
      <c r="C40" s="932"/>
      <c r="D40" s="12"/>
      <c r="E40" s="941"/>
      <c r="F40" s="941"/>
      <c r="G40" s="941"/>
      <c r="H40" s="941"/>
      <c r="I40" s="941"/>
      <c r="J40" s="941"/>
      <c r="K40" s="941"/>
      <c r="L40" s="941"/>
      <c r="M40" s="65"/>
    </row>
    <row r="41" spans="2:13" ht="5.0999999999999996" customHeight="1" x14ac:dyDescent="0.2">
      <c r="B41" s="64"/>
      <c r="C41" s="932"/>
      <c r="D41" s="12"/>
      <c r="E41" s="536"/>
      <c r="F41" s="536"/>
      <c r="G41" s="536"/>
      <c r="H41" s="536"/>
      <c r="I41" s="536"/>
      <c r="J41" s="536"/>
      <c r="K41" s="536"/>
      <c r="L41" s="536"/>
      <c r="M41" s="65"/>
    </row>
    <row r="42" spans="2:13" ht="15.6" customHeight="1" x14ac:dyDescent="0.2">
      <c r="B42" s="64"/>
      <c r="C42" s="932"/>
      <c r="D42" s="12"/>
      <c r="E42" s="516" t="s">
        <v>104</v>
      </c>
      <c r="F42" s="12"/>
      <c r="G42" s="12"/>
      <c r="H42" s="12"/>
      <c r="I42" s="12"/>
      <c r="J42" s="12"/>
      <c r="K42" s="12"/>
      <c r="L42" s="12"/>
      <c r="M42" s="65"/>
    </row>
    <row r="43" spans="2:13" x14ac:dyDescent="0.2">
      <c r="B43" s="64"/>
      <c r="C43" s="932"/>
      <c r="D43" s="12"/>
      <c r="E43" s="942" t="s">
        <v>850</v>
      </c>
      <c r="F43" s="943"/>
      <c r="G43" s="943"/>
      <c r="H43" s="943"/>
      <c r="I43" s="943"/>
      <c r="J43" s="943"/>
      <c r="K43" s="943"/>
      <c r="L43" s="944"/>
      <c r="M43" s="65"/>
    </row>
    <row r="44" spans="2:13" x14ac:dyDescent="0.2">
      <c r="B44" s="64"/>
      <c r="C44" s="932"/>
      <c r="D44" s="12"/>
      <c r="E44" s="945"/>
      <c r="F44" s="946"/>
      <c r="G44" s="946"/>
      <c r="H44" s="946"/>
      <c r="I44" s="946"/>
      <c r="J44" s="946"/>
      <c r="K44" s="946"/>
      <c r="L44" s="947"/>
      <c r="M44" s="65"/>
    </row>
    <row r="45" spans="2:13" ht="30.75" customHeight="1" x14ac:dyDescent="0.2">
      <c r="B45" s="64"/>
      <c r="C45" s="932"/>
      <c r="D45" s="12"/>
      <c r="E45" s="945"/>
      <c r="F45" s="946"/>
      <c r="G45" s="946"/>
      <c r="H45" s="946"/>
      <c r="I45" s="946"/>
      <c r="J45" s="946"/>
      <c r="K45" s="946"/>
      <c r="L45" s="947"/>
      <c r="M45" s="65"/>
    </row>
    <row r="46" spans="2:13" x14ac:dyDescent="0.2">
      <c r="B46" s="64"/>
      <c r="C46" s="123"/>
      <c r="D46" s="12"/>
      <c r="E46" s="945"/>
      <c r="F46" s="946"/>
      <c r="G46" s="946"/>
      <c r="H46" s="946"/>
      <c r="I46" s="946"/>
      <c r="J46" s="946"/>
      <c r="K46" s="946"/>
      <c r="L46" s="947"/>
      <c r="M46" s="65"/>
    </row>
    <row r="47" spans="2:13" ht="23.25" customHeight="1" x14ac:dyDescent="0.2">
      <c r="B47" s="64"/>
      <c r="C47" s="123"/>
      <c r="D47" s="12"/>
      <c r="E47" s="948"/>
      <c r="F47" s="949"/>
      <c r="G47" s="949"/>
      <c r="H47" s="949"/>
      <c r="I47" s="949"/>
      <c r="J47" s="949"/>
      <c r="K47" s="949"/>
      <c r="L47" s="950"/>
      <c r="M47" s="65"/>
    </row>
    <row r="48" spans="2:13" ht="14.1" customHeight="1" x14ac:dyDescent="0.2">
      <c r="B48" s="64"/>
      <c r="C48" s="12"/>
      <c r="D48" s="12"/>
      <c r="E48" s="220"/>
      <c r="F48" s="12"/>
      <c r="G48" s="12"/>
      <c r="H48" s="12"/>
      <c r="I48" s="12"/>
      <c r="J48" s="12"/>
      <c r="K48" s="12"/>
      <c r="L48" s="12"/>
      <c r="M48" s="65"/>
    </row>
    <row r="49" spans="2:13" ht="15.6" customHeight="1" x14ac:dyDescent="0.25">
      <c r="B49" s="64"/>
      <c r="C49" s="5" t="s">
        <v>148</v>
      </c>
      <c r="D49" s="12"/>
      <c r="E49" s="220"/>
      <c r="F49" s="12"/>
      <c r="G49" s="12"/>
      <c r="H49" s="12"/>
      <c r="I49" s="12"/>
      <c r="J49" s="12"/>
      <c r="K49" s="12"/>
      <c r="L49" s="12"/>
      <c r="M49" s="65"/>
    </row>
    <row r="50" spans="2:13" ht="9.6" customHeight="1" thickBot="1" x14ac:dyDescent="0.3">
      <c r="B50" s="64"/>
      <c r="C50" s="5"/>
      <c r="D50" s="12"/>
      <c r="E50" s="220"/>
      <c r="F50" s="12"/>
      <c r="G50" s="12"/>
      <c r="H50" s="12"/>
      <c r="I50" s="12"/>
      <c r="J50" s="12"/>
      <c r="K50" s="12"/>
      <c r="L50" s="12"/>
      <c r="M50" s="65"/>
    </row>
    <row r="51" spans="2:13" ht="24.95" customHeight="1" thickBot="1" x14ac:dyDescent="0.25">
      <c r="B51" s="64"/>
      <c r="C51" s="935" t="s">
        <v>55</v>
      </c>
      <c r="D51" s="936"/>
      <c r="E51" s="936"/>
      <c r="F51" s="936"/>
      <c r="G51" s="936"/>
      <c r="H51" s="936"/>
      <c r="I51" s="936"/>
      <c r="J51" s="936"/>
      <c r="K51" s="937"/>
      <c r="L51" s="512" t="s">
        <v>29</v>
      </c>
      <c r="M51" s="65"/>
    </row>
    <row r="52" spans="2:13" ht="18" customHeight="1" thickBot="1" x14ac:dyDescent="0.25">
      <c r="B52" s="64"/>
      <c r="C52" s="938" t="str">
        <f>IF(L51="Yes","Please complete the Building Stock Change Calculator. Include all building stock changes that have occurred since the baseline in the current year.","")</f>
        <v>Please complete the Building Stock Change Calculator. Include all building stock changes that have occurred since the baseline in the current year.</v>
      </c>
      <c r="D52" s="939"/>
      <c r="E52" s="939"/>
      <c r="F52" s="939"/>
      <c r="G52" s="939"/>
      <c r="H52" s="939"/>
      <c r="I52" s="939"/>
      <c r="J52" s="939"/>
      <c r="K52" s="939"/>
      <c r="L52" s="940"/>
      <c r="M52" s="65"/>
    </row>
    <row r="53" spans="2:13" ht="24.95" customHeight="1" thickBot="1" x14ac:dyDescent="0.25">
      <c r="B53" s="64"/>
      <c r="C53" s="935" t="s">
        <v>690</v>
      </c>
      <c r="D53" s="936"/>
      <c r="E53" s="936"/>
      <c r="F53" s="936"/>
      <c r="G53" s="936"/>
      <c r="H53" s="936"/>
      <c r="I53" s="936"/>
      <c r="J53" s="936"/>
      <c r="K53" s="937"/>
      <c r="L53" s="512" t="s">
        <v>30</v>
      </c>
      <c r="M53" s="65"/>
    </row>
    <row r="54" spans="2:13" x14ac:dyDescent="0.2">
      <c r="B54" s="64"/>
      <c r="C54" s="515"/>
      <c r="D54" s="515"/>
      <c r="E54" s="515"/>
      <c r="F54" s="515"/>
      <c r="G54" s="515"/>
      <c r="H54" s="515"/>
      <c r="I54" s="515"/>
      <c r="J54" s="515"/>
      <c r="K54" s="515"/>
      <c r="L54" s="517"/>
      <c r="M54" s="65"/>
    </row>
    <row r="55" spans="2:13" x14ac:dyDescent="0.2">
      <c r="B55" s="64"/>
      <c r="C55" s="934" t="str">
        <f>IF(L53="Yes",ICF!$B$8,"")</f>
        <v/>
      </c>
      <c r="D55" s="12"/>
      <c r="E55" s="516" t="str">
        <f>IF(L53="Yes","NARRATIVE:","")</f>
        <v/>
      </c>
      <c r="F55" s="12"/>
      <c r="G55" s="12"/>
      <c r="H55" s="12"/>
      <c r="I55" s="12"/>
      <c r="J55" s="12"/>
      <c r="K55" s="12"/>
      <c r="L55" s="12"/>
      <c r="M55" s="65"/>
    </row>
    <row r="56" spans="2:13" x14ac:dyDescent="0.2">
      <c r="B56" s="64"/>
      <c r="C56" s="934"/>
      <c r="D56" s="12"/>
      <c r="E56" s="933" t="s">
        <v>846</v>
      </c>
      <c r="F56" s="933"/>
      <c r="G56" s="933"/>
      <c r="H56" s="933"/>
      <c r="I56" s="933"/>
      <c r="J56" s="933"/>
      <c r="K56" s="933"/>
      <c r="L56" s="933"/>
      <c r="M56" s="65"/>
    </row>
    <row r="57" spans="2:13" x14ac:dyDescent="0.2">
      <c r="B57" s="64"/>
      <c r="C57" s="934"/>
      <c r="D57" s="12"/>
      <c r="E57" s="933"/>
      <c r="F57" s="933"/>
      <c r="G57" s="933"/>
      <c r="H57" s="933"/>
      <c r="I57" s="933"/>
      <c r="J57" s="933"/>
      <c r="K57" s="933"/>
      <c r="L57" s="933"/>
      <c r="M57" s="65"/>
    </row>
    <row r="58" spans="2:13" x14ac:dyDescent="0.2">
      <c r="B58" s="64"/>
      <c r="C58" s="934"/>
      <c r="D58" s="12"/>
      <c r="E58" s="933"/>
      <c r="F58" s="933"/>
      <c r="G58" s="933"/>
      <c r="H58" s="933"/>
      <c r="I58" s="933"/>
      <c r="J58" s="933"/>
      <c r="K58" s="933"/>
      <c r="L58" s="933"/>
      <c r="M58" s="65"/>
    </row>
    <row r="59" spans="2:13" x14ac:dyDescent="0.2">
      <c r="B59" s="64"/>
      <c r="C59" s="934"/>
      <c r="D59" s="12"/>
      <c r="E59" s="933"/>
      <c r="F59" s="933"/>
      <c r="G59" s="933"/>
      <c r="H59" s="933"/>
      <c r="I59" s="933"/>
      <c r="J59" s="933"/>
      <c r="K59" s="933"/>
      <c r="L59" s="933"/>
      <c r="M59" s="65"/>
    </row>
    <row r="60" spans="2:13" x14ac:dyDescent="0.2">
      <c r="B60" s="64"/>
      <c r="C60" s="934"/>
      <c r="D60" s="12"/>
      <c r="E60" s="933"/>
      <c r="F60" s="933"/>
      <c r="G60" s="933"/>
      <c r="H60" s="933"/>
      <c r="I60" s="933"/>
      <c r="J60" s="933"/>
      <c r="K60" s="933"/>
      <c r="L60" s="933"/>
      <c r="M60" s="65"/>
    </row>
    <row r="61" spans="2:13" ht="24.6" customHeight="1" x14ac:dyDescent="0.2">
      <c r="B61" s="64"/>
      <c r="C61" s="934"/>
      <c r="D61" s="12"/>
      <c r="E61" s="933"/>
      <c r="F61" s="933"/>
      <c r="G61" s="933"/>
      <c r="H61" s="933"/>
      <c r="I61" s="933"/>
      <c r="J61" s="933"/>
      <c r="K61" s="933"/>
      <c r="L61" s="933"/>
      <c r="M61" s="65"/>
    </row>
    <row r="62" spans="2:13" ht="18" customHeight="1" x14ac:dyDescent="0.2">
      <c r="B62" s="64"/>
      <c r="C62" s="934"/>
      <c r="D62" s="12"/>
      <c r="E62" s="933"/>
      <c r="F62" s="933"/>
      <c r="G62" s="933"/>
      <c r="H62" s="933"/>
      <c r="I62" s="933"/>
      <c r="J62" s="933"/>
      <c r="K62" s="933"/>
      <c r="L62" s="933"/>
      <c r="M62" s="65"/>
    </row>
    <row r="63" spans="2:13" ht="9" customHeight="1" x14ac:dyDescent="0.25">
      <c r="B63" s="64"/>
      <c r="C63" s="12"/>
      <c r="D63" s="5"/>
      <c r="E63" s="12"/>
      <c r="F63" s="12"/>
      <c r="G63" s="12"/>
      <c r="H63" s="12"/>
      <c r="I63" s="12"/>
      <c r="J63" s="12"/>
      <c r="K63" s="12"/>
      <c r="L63" s="12"/>
      <c r="M63" s="65"/>
    </row>
    <row r="64" spans="2:13" ht="9.75" customHeight="1" thickBot="1" x14ac:dyDescent="0.25">
      <c r="B64" s="68"/>
      <c r="C64" s="174"/>
      <c r="D64" s="111"/>
      <c r="E64" s="111"/>
      <c r="F64" s="111"/>
      <c r="G64" s="111"/>
      <c r="H64" s="111"/>
      <c r="I64" s="111"/>
      <c r="J64" s="111"/>
      <c r="K64" s="111"/>
      <c r="L64" s="111"/>
      <c r="M64" s="69"/>
    </row>
    <row r="65" spans="11:11" x14ac:dyDescent="0.2"/>
    <row r="70" spans="11:11" hidden="1" x14ac:dyDescent="0.2">
      <c r="K70" s="118"/>
    </row>
    <row r="71" spans="11:11" x14ac:dyDescent="0.2"/>
    <row r="72" spans="11:11" x14ac:dyDescent="0.2"/>
    <row r="73" spans="11:11" x14ac:dyDescent="0.2"/>
    <row r="74" spans="11:11" x14ac:dyDescent="0.2"/>
    <row r="75" spans="11:11" x14ac:dyDescent="0.2"/>
    <row r="76" spans="11:11" x14ac:dyDescent="0.2"/>
    <row r="77" spans="11:11" x14ac:dyDescent="0.2"/>
    <row r="78" spans="11:11" x14ac:dyDescent="0.2"/>
    <row r="79" spans="11:11" x14ac:dyDescent="0.2"/>
    <row r="80" spans="11:11" x14ac:dyDescent="0.2"/>
    <row r="81" x14ac:dyDescent="0.2"/>
    <row r="82" x14ac:dyDescent="0.2"/>
    <row r="83" x14ac:dyDescent="0.2"/>
    <row r="84" x14ac:dyDescent="0.2"/>
    <row r="85" x14ac:dyDescent="0.2"/>
    <row r="86" x14ac:dyDescent="0.2"/>
    <row r="87" x14ac:dyDescent="0.2"/>
    <row r="88" x14ac:dyDescent="0.2"/>
    <row r="89" x14ac:dyDescent="0.2"/>
    <row r="90" x14ac:dyDescent="0.2"/>
    <row r="91" x14ac:dyDescent="0.2"/>
    <row r="92" x14ac:dyDescent="0.2"/>
    <row r="93" x14ac:dyDescent="0.2"/>
    <row r="94" x14ac:dyDescent="0.2"/>
    <row r="95" x14ac:dyDescent="0.2"/>
    <row r="96" x14ac:dyDescent="0.2"/>
    <row r="97" x14ac:dyDescent="0.2"/>
    <row r="98" x14ac:dyDescent="0.2"/>
    <row r="99" x14ac:dyDescent="0.2"/>
    <row r="100" x14ac:dyDescent="0.2"/>
    <row r="101" x14ac:dyDescent="0.2"/>
    <row r="102" x14ac:dyDescent="0.2"/>
    <row r="103" x14ac:dyDescent="0.2"/>
    <row r="104" x14ac:dyDescent="0.2"/>
    <row r="105" x14ac:dyDescent="0.2"/>
    <row r="106" x14ac:dyDescent="0.2"/>
    <row r="107" x14ac:dyDescent="0.2"/>
    <row r="108" x14ac:dyDescent="0.2"/>
    <row r="109" x14ac:dyDescent="0.2"/>
    <row r="110" x14ac:dyDescent="0.2"/>
    <row r="111" x14ac:dyDescent="0.2"/>
    <row r="112" x14ac:dyDescent="0.2"/>
  </sheetData>
  <sheetProtection algorithmName="SHA-512" hashValue="IK0FjBr2oRR6ngpoZWBbAaFcTByOMligZgu3LRKEDI5l+oE12lyRI4pDfzIw/MSNxY+1j1U35U2QhfXp2wlAQw==" saltValue="jR3/KlzuXR6MVNZAG5pvXA==" spinCount="100000" sheet="1"/>
  <mergeCells count="28">
    <mergeCell ref="C23:K24"/>
    <mergeCell ref="C22:K22"/>
    <mergeCell ref="C28:L28"/>
    <mergeCell ref="C37:C45"/>
    <mergeCell ref="E56:L62"/>
    <mergeCell ref="C55:C62"/>
    <mergeCell ref="C51:K51"/>
    <mergeCell ref="C53:K53"/>
    <mergeCell ref="C52:L52"/>
    <mergeCell ref="E37:L40"/>
    <mergeCell ref="E43:L47"/>
    <mergeCell ref="C29:K29"/>
    <mergeCell ref="C30:K31"/>
    <mergeCell ref="G27:H27"/>
    <mergeCell ref="F33:G33"/>
    <mergeCell ref="E34:K34"/>
    <mergeCell ref="C7:E7"/>
    <mergeCell ref="F7:G7"/>
    <mergeCell ref="C10:I10"/>
    <mergeCell ref="C8:H8"/>
    <mergeCell ref="C20:E20"/>
    <mergeCell ref="F20:G20"/>
    <mergeCell ref="C15:K15"/>
    <mergeCell ref="C18:K18"/>
    <mergeCell ref="C16:K16"/>
    <mergeCell ref="C17:K17"/>
    <mergeCell ref="C9:L9"/>
    <mergeCell ref="C12:L12"/>
  </mergeCells>
  <phoneticPr fontId="13" type="noConversion"/>
  <conditionalFormatting sqref="L24">
    <cfRule type="expression" dxfId="45" priority="7">
      <formula>$L$23="Provide Date Below"</formula>
    </cfRule>
  </conditionalFormatting>
  <conditionalFormatting sqref="L31">
    <cfRule type="expression" dxfId="44" priority="5">
      <formula>$L$30="Provide Date Below"</formula>
    </cfRule>
  </conditionalFormatting>
  <conditionalFormatting sqref="L16:L18">
    <cfRule type="expression" dxfId="43" priority="4">
      <formula>$L$15="Yes"</formula>
    </cfRule>
  </conditionalFormatting>
  <conditionalFormatting sqref="E56:L62">
    <cfRule type="expression" dxfId="42" priority="3">
      <formula>$L$53="Yes"</formula>
    </cfRule>
  </conditionalFormatting>
  <conditionalFormatting sqref="L23">
    <cfRule type="expression" dxfId="41" priority="2">
      <formula>$L$22="Yes"</formula>
    </cfRule>
  </conditionalFormatting>
  <conditionalFormatting sqref="L30">
    <cfRule type="expression" dxfId="40" priority="1">
      <formula>$L$29="Yes"</formula>
    </cfRule>
  </conditionalFormatting>
  <dataValidations count="4">
    <dataValidation type="list" allowBlank="1" showInputMessage="1" showErrorMessage="1" sqref="L34" xr:uid="{00000000-0002-0000-0500-000000000000}">
      <formula1>ListYN</formula1>
    </dataValidation>
    <dataValidation type="list" allowBlank="1" showInputMessage="1" showErrorMessage="1" sqref="L17" xr:uid="{00000000-0002-0000-0500-000001000000}">
      <formula1>"Percentage, Buildings"</formula1>
    </dataValidation>
    <dataValidation type="date" allowBlank="1" showInputMessage="1" showErrorMessage="1" sqref="L23" xr:uid="{ABCA9434-4D6D-4275-A67E-E67790FAD659}">
      <formula1>44044</formula1>
      <formula2>44195</formula2>
    </dataValidation>
    <dataValidation type="date" allowBlank="1" showInputMessage="1" showErrorMessage="1" sqref="L31" xr:uid="{25B114F7-313A-43B0-8679-91079D9B22B9}">
      <formula1>38534</formula1>
      <formula2>47848</formula2>
    </dataValidation>
  </dataValidations>
  <hyperlinks>
    <hyperlink ref="F7:G7" location="'Crit 3 - Table  2 Progress'!A1" display="Go to Table 2" xr:uid="{00000000-0004-0000-0500-000000000000}"/>
    <hyperlink ref="F20" location="'Crit 3 -Tbl 3 for Non-MEI Users'!A1" display="Go to Table 3" xr:uid="{00000000-0004-0000-0500-000001000000}"/>
    <hyperlink ref="G27:H27" location="'Crit 3 - Table 4 ECMs'!A1" display="Go to Table 4" xr:uid="{00000000-0004-0000-0500-000002000000}"/>
    <hyperlink ref="F33:G33" location="'Crit 3 - Table 5 RE'!A1" display="Go to Table 5" xr:uid="{00000000-0004-0000-0500-000003000000}"/>
  </hyperlinks>
  <pageMargins left="0.7" right="0.7" top="0.75" bottom="0.75" header="0.3" footer="0.3"/>
  <pageSetup scale="48" orientation="portrait" r:id="rId1"/>
  <extLst>
    <ext xmlns:x14="http://schemas.microsoft.com/office/spreadsheetml/2009/9/main" uri="{CCE6A557-97BC-4b89-ADB6-D9C93CAAB3DF}">
      <x14:dataValidations xmlns:xm="http://schemas.microsoft.com/office/excel/2006/main" count="1">
        <x14:dataValidation type="list" allowBlank="1" showInputMessage="1" xr:uid="{00000000-0002-0000-0500-000002000000}">
          <x14:formula1>
            <xm:f>'AR Compliance Checklist'!$P$7:$P$9</xm:f>
          </x14:formula1>
          <xm:sqref>L22 L15 L29 L51 L53</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theme="0" tint="-0.249977111117893"/>
  </sheetPr>
  <dimension ref="A1:Q83"/>
  <sheetViews>
    <sheetView zoomScale="80" zoomScaleNormal="80" workbookViewId="0">
      <selection activeCell="B2" sqref="B2"/>
    </sheetView>
  </sheetViews>
  <sheetFormatPr defaultRowHeight="12.75" x14ac:dyDescent="0.2"/>
  <sheetData>
    <row r="1" spans="1:17" x14ac:dyDescent="0.2">
      <c r="A1" s="328"/>
      <c r="B1" s="328"/>
      <c r="C1" s="328"/>
      <c r="D1" s="328"/>
      <c r="E1" s="328"/>
      <c r="F1" s="328"/>
      <c r="G1" s="328"/>
      <c r="H1" s="328"/>
      <c r="I1" s="328"/>
      <c r="J1" s="328"/>
      <c r="K1" s="328"/>
      <c r="L1" s="328"/>
      <c r="M1" s="328"/>
      <c r="N1" s="328"/>
      <c r="O1" s="328"/>
      <c r="P1" s="328"/>
      <c r="Q1" s="328"/>
    </row>
    <row r="2" spans="1:17" x14ac:dyDescent="0.2">
      <c r="A2" s="328"/>
      <c r="B2" s="328"/>
      <c r="C2" s="328"/>
      <c r="D2" s="328"/>
      <c r="E2" s="328"/>
      <c r="F2" s="328"/>
      <c r="G2" s="328"/>
      <c r="H2" s="328"/>
      <c r="I2" s="328"/>
      <c r="J2" s="328"/>
      <c r="K2" s="328"/>
      <c r="L2" s="328"/>
      <c r="M2" s="328"/>
      <c r="N2" s="328"/>
      <c r="O2" s="328"/>
      <c r="P2" s="328"/>
      <c r="Q2" s="328"/>
    </row>
    <row r="3" spans="1:17" x14ac:dyDescent="0.2">
      <c r="A3" s="328"/>
      <c r="B3" s="328"/>
      <c r="C3" s="328"/>
      <c r="D3" s="328"/>
      <c r="E3" s="328"/>
      <c r="F3" s="328"/>
      <c r="G3" s="328"/>
      <c r="H3" s="328"/>
      <c r="I3" s="328"/>
      <c r="J3" s="328"/>
      <c r="K3" s="328"/>
      <c r="L3" s="328"/>
      <c r="M3" s="328"/>
      <c r="N3" s="328"/>
      <c r="O3" s="328"/>
      <c r="P3" s="328"/>
      <c r="Q3" s="328"/>
    </row>
    <row r="4" spans="1:17" x14ac:dyDescent="0.2">
      <c r="A4" s="328"/>
      <c r="B4" s="328"/>
      <c r="C4" s="328"/>
      <c r="D4" s="328"/>
      <c r="E4" s="328"/>
      <c r="F4" s="328"/>
      <c r="G4" s="328"/>
      <c r="H4" s="328"/>
      <c r="I4" s="328"/>
      <c r="J4" s="328"/>
      <c r="K4" s="328"/>
      <c r="L4" s="328"/>
      <c r="M4" s="328"/>
      <c r="N4" s="328"/>
      <c r="O4" s="328"/>
      <c r="P4" s="328"/>
      <c r="Q4" s="328"/>
    </row>
    <row r="5" spans="1:17" x14ac:dyDescent="0.2">
      <c r="A5" s="328"/>
      <c r="B5" s="328"/>
      <c r="C5" s="328"/>
      <c r="D5" s="328"/>
      <c r="E5" s="328"/>
      <c r="F5" s="328"/>
      <c r="G5" s="328"/>
      <c r="H5" s="328"/>
      <c r="I5" s="328"/>
      <c r="J5" s="328"/>
      <c r="K5" s="328"/>
      <c r="L5" s="328"/>
      <c r="M5" s="328"/>
      <c r="N5" s="328"/>
      <c r="O5" s="328"/>
      <c r="P5" s="328"/>
      <c r="Q5" s="328"/>
    </row>
    <row r="6" spans="1:17" x14ac:dyDescent="0.2">
      <c r="A6" s="328"/>
      <c r="B6" s="328"/>
      <c r="C6" s="328"/>
      <c r="D6" s="328"/>
      <c r="E6" s="328"/>
      <c r="F6" s="328"/>
      <c r="G6" s="328"/>
      <c r="H6" s="328"/>
      <c r="I6" s="328"/>
      <c r="J6" s="328"/>
      <c r="K6" s="328"/>
      <c r="L6" s="328"/>
      <c r="M6" s="328"/>
      <c r="N6" s="328"/>
      <c r="O6" s="328"/>
      <c r="P6" s="328"/>
      <c r="Q6" s="328"/>
    </row>
    <row r="7" spans="1:17" x14ac:dyDescent="0.2">
      <c r="A7" s="328"/>
      <c r="B7" s="328"/>
      <c r="C7" s="328"/>
      <c r="D7" s="328"/>
      <c r="E7" s="328"/>
      <c r="F7" s="328"/>
      <c r="G7" s="328"/>
      <c r="H7" s="328"/>
      <c r="I7" s="328"/>
      <c r="J7" s="328"/>
      <c r="K7" s="328"/>
      <c r="L7" s="328"/>
      <c r="M7" s="328"/>
      <c r="N7" s="328"/>
      <c r="O7" s="328"/>
      <c r="P7" s="328"/>
      <c r="Q7" s="328"/>
    </row>
    <row r="8" spans="1:17" x14ac:dyDescent="0.2">
      <c r="A8" s="328"/>
      <c r="B8" s="328"/>
      <c r="C8" s="328"/>
      <c r="D8" s="328"/>
      <c r="E8" s="328"/>
      <c r="F8" s="328"/>
      <c r="G8" s="328"/>
      <c r="H8" s="328"/>
      <c r="I8" s="328"/>
      <c r="J8" s="328"/>
      <c r="K8" s="328"/>
      <c r="L8" s="328"/>
      <c r="M8" s="328"/>
      <c r="N8" s="328"/>
      <c r="O8" s="328"/>
      <c r="P8" s="328"/>
      <c r="Q8" s="328"/>
    </row>
    <row r="9" spans="1:17" x14ac:dyDescent="0.2">
      <c r="A9" s="328"/>
      <c r="B9" s="328"/>
      <c r="C9" s="328"/>
      <c r="D9" s="328"/>
      <c r="E9" s="328"/>
      <c r="F9" s="328"/>
      <c r="G9" s="328"/>
      <c r="H9" s="328"/>
      <c r="I9" s="328"/>
      <c r="J9" s="328"/>
      <c r="K9" s="328"/>
      <c r="L9" s="328"/>
      <c r="M9" s="328"/>
      <c r="N9" s="328"/>
      <c r="O9" s="328"/>
      <c r="P9" s="328"/>
      <c r="Q9" s="328"/>
    </row>
    <row r="10" spans="1:17" x14ac:dyDescent="0.2">
      <c r="A10" s="328"/>
      <c r="B10" s="328"/>
      <c r="C10" s="328"/>
      <c r="D10" s="328"/>
      <c r="E10" s="328"/>
      <c r="F10" s="328"/>
      <c r="G10" s="328"/>
      <c r="H10" s="328"/>
      <c r="I10" s="328"/>
      <c r="J10" s="328"/>
      <c r="K10" s="328"/>
      <c r="L10" s="328"/>
      <c r="M10" s="328"/>
      <c r="N10" s="328"/>
      <c r="O10" s="328"/>
      <c r="P10" s="328"/>
      <c r="Q10" s="328"/>
    </row>
    <row r="11" spans="1:17" x14ac:dyDescent="0.2">
      <c r="A11" s="328"/>
      <c r="B11" s="328"/>
      <c r="C11" s="328"/>
      <c r="D11" s="328"/>
      <c r="E11" s="328"/>
      <c r="F11" s="328"/>
      <c r="G11" s="328"/>
      <c r="H11" s="328"/>
      <c r="I11" s="328"/>
      <c r="J11" s="328"/>
      <c r="K11" s="328"/>
      <c r="L11" s="328"/>
      <c r="M11" s="328"/>
      <c r="N11" s="328"/>
      <c r="O11" s="328"/>
      <c r="P11" s="328"/>
      <c r="Q11" s="328"/>
    </row>
    <row r="12" spans="1:17" x14ac:dyDescent="0.2">
      <c r="A12" s="328"/>
      <c r="B12" s="328"/>
      <c r="C12" s="328"/>
      <c r="D12" s="328"/>
      <c r="E12" s="328"/>
      <c r="F12" s="328"/>
      <c r="G12" s="328"/>
      <c r="H12" s="328"/>
      <c r="I12" s="328"/>
      <c r="J12" s="328"/>
      <c r="K12" s="328"/>
      <c r="L12" s="328"/>
      <c r="M12" s="328"/>
      <c r="N12" s="328"/>
      <c r="O12" s="328"/>
      <c r="P12" s="328"/>
      <c r="Q12" s="328"/>
    </row>
    <row r="13" spans="1:17" x14ac:dyDescent="0.2">
      <c r="A13" s="328"/>
      <c r="B13" s="328"/>
      <c r="C13" s="328"/>
      <c r="D13" s="328"/>
      <c r="E13" s="328"/>
      <c r="F13" s="328"/>
      <c r="G13" s="328"/>
      <c r="H13" s="328"/>
      <c r="I13" s="328"/>
      <c r="J13" s="328"/>
      <c r="K13" s="328"/>
      <c r="L13" s="328"/>
      <c r="M13" s="328"/>
      <c r="N13" s="328"/>
      <c r="O13" s="328"/>
      <c r="P13" s="328"/>
      <c r="Q13" s="328"/>
    </row>
    <row r="14" spans="1:17" x14ac:dyDescent="0.2">
      <c r="A14" s="328"/>
      <c r="B14" s="328"/>
      <c r="C14" s="328"/>
      <c r="D14" s="328"/>
      <c r="E14" s="328"/>
      <c r="F14" s="328"/>
      <c r="G14" s="328"/>
      <c r="H14" s="328"/>
      <c r="I14" s="328"/>
      <c r="J14" s="328"/>
      <c r="K14" s="328"/>
      <c r="L14" s="328"/>
      <c r="M14" s="328"/>
      <c r="N14" s="328"/>
      <c r="O14" s="328"/>
      <c r="P14" s="328"/>
      <c r="Q14" s="328"/>
    </row>
    <row r="15" spans="1:17" x14ac:dyDescent="0.2">
      <c r="A15" s="328"/>
      <c r="B15" s="328"/>
      <c r="C15" s="328"/>
      <c r="D15" s="328"/>
      <c r="E15" s="328"/>
      <c r="F15" s="328"/>
      <c r="G15" s="328"/>
      <c r="H15" s="328"/>
      <c r="I15" s="328"/>
      <c r="J15" s="328"/>
      <c r="K15" s="328"/>
      <c r="L15" s="328"/>
      <c r="M15" s="328"/>
      <c r="N15" s="328"/>
      <c r="O15" s="328"/>
      <c r="P15" s="328"/>
      <c r="Q15" s="328"/>
    </row>
    <row r="16" spans="1:17" x14ac:dyDescent="0.2">
      <c r="A16" s="328"/>
      <c r="B16" s="328"/>
      <c r="C16" s="328"/>
      <c r="D16" s="328"/>
      <c r="E16" s="328"/>
      <c r="F16" s="328"/>
      <c r="G16" s="328"/>
      <c r="H16" s="328"/>
      <c r="I16" s="328"/>
      <c r="J16" s="328"/>
      <c r="K16" s="328"/>
      <c r="L16" s="328"/>
      <c r="M16" s="328"/>
      <c r="N16" s="328"/>
      <c r="O16" s="328"/>
      <c r="P16" s="328"/>
      <c r="Q16" s="328"/>
    </row>
    <row r="17" spans="1:17" x14ac:dyDescent="0.2">
      <c r="A17" s="328"/>
      <c r="B17" s="328"/>
      <c r="C17" s="328"/>
      <c r="D17" s="328"/>
      <c r="E17" s="328"/>
      <c r="F17" s="328"/>
      <c r="G17" s="328"/>
      <c r="H17" s="328"/>
      <c r="I17" s="328"/>
      <c r="J17" s="328"/>
      <c r="K17" s="328"/>
      <c r="L17" s="328"/>
      <c r="M17" s="328"/>
      <c r="N17" s="328"/>
      <c r="O17" s="328"/>
      <c r="P17" s="328"/>
      <c r="Q17" s="328"/>
    </row>
    <row r="18" spans="1:17" x14ac:dyDescent="0.2">
      <c r="A18" s="328"/>
      <c r="B18" s="328"/>
      <c r="C18" s="328"/>
      <c r="D18" s="328"/>
      <c r="E18" s="328"/>
      <c r="F18" s="328"/>
      <c r="G18" s="328"/>
      <c r="H18" s="328"/>
      <c r="I18" s="328"/>
      <c r="J18" s="328"/>
      <c r="K18" s="328"/>
      <c r="L18" s="328"/>
      <c r="M18" s="328"/>
      <c r="N18" s="328"/>
      <c r="O18" s="328"/>
      <c r="P18" s="328"/>
      <c r="Q18" s="328"/>
    </row>
    <row r="19" spans="1:17" x14ac:dyDescent="0.2">
      <c r="A19" s="328"/>
      <c r="B19" s="328"/>
      <c r="C19" s="328"/>
      <c r="D19" s="328"/>
      <c r="E19" s="328"/>
      <c r="F19" s="328"/>
      <c r="G19" s="328"/>
      <c r="H19" s="328"/>
      <c r="I19" s="328"/>
      <c r="J19" s="328"/>
      <c r="K19" s="328"/>
      <c r="L19" s="328"/>
      <c r="M19" s="328"/>
      <c r="N19" s="328"/>
      <c r="O19" s="328"/>
      <c r="P19" s="328"/>
      <c r="Q19" s="328"/>
    </row>
    <row r="20" spans="1:17" x14ac:dyDescent="0.2">
      <c r="A20" s="328"/>
      <c r="B20" s="328"/>
      <c r="C20" s="328"/>
      <c r="D20" s="328"/>
      <c r="E20" s="328"/>
      <c r="F20" s="328"/>
      <c r="G20" s="328"/>
      <c r="H20" s="328"/>
      <c r="I20" s="328"/>
      <c r="J20" s="328"/>
      <c r="K20" s="328"/>
      <c r="L20" s="328"/>
      <c r="M20" s="328"/>
      <c r="N20" s="328"/>
      <c r="O20" s="328"/>
      <c r="P20" s="328"/>
      <c r="Q20" s="328"/>
    </row>
    <row r="21" spans="1:17" x14ac:dyDescent="0.2">
      <c r="A21" s="328"/>
      <c r="B21" s="328"/>
      <c r="C21" s="328"/>
      <c r="D21" s="328"/>
      <c r="E21" s="328"/>
      <c r="F21" s="328"/>
      <c r="G21" s="328"/>
      <c r="H21" s="328"/>
      <c r="I21" s="328"/>
      <c r="J21" s="328"/>
      <c r="K21" s="328"/>
      <c r="L21" s="328"/>
      <c r="M21" s="328"/>
      <c r="N21" s="328"/>
      <c r="O21" s="328"/>
      <c r="P21" s="328"/>
      <c r="Q21" s="328"/>
    </row>
    <row r="22" spans="1:17" x14ac:dyDescent="0.2">
      <c r="A22" s="328"/>
      <c r="B22" s="328"/>
      <c r="C22" s="328"/>
      <c r="D22" s="328"/>
      <c r="E22" s="328"/>
      <c r="F22" s="328"/>
      <c r="G22" s="328"/>
      <c r="H22" s="328"/>
      <c r="I22" s="328"/>
      <c r="J22" s="328"/>
      <c r="K22" s="328"/>
      <c r="L22" s="328"/>
      <c r="M22" s="328"/>
      <c r="N22" s="328"/>
      <c r="O22" s="328"/>
      <c r="P22" s="328"/>
      <c r="Q22" s="328"/>
    </row>
    <row r="23" spans="1:17" x14ac:dyDescent="0.2">
      <c r="A23" s="328"/>
      <c r="B23" s="328"/>
      <c r="C23" s="328"/>
      <c r="D23" s="328"/>
      <c r="E23" s="328"/>
      <c r="F23" s="328"/>
      <c r="G23" s="328"/>
      <c r="H23" s="328"/>
      <c r="I23" s="328"/>
      <c r="J23" s="328"/>
      <c r="K23" s="328"/>
      <c r="L23" s="328"/>
      <c r="M23" s="328"/>
      <c r="N23" s="328"/>
      <c r="O23" s="328"/>
      <c r="P23" s="328"/>
      <c r="Q23" s="328"/>
    </row>
    <row r="24" spans="1:17" x14ac:dyDescent="0.2">
      <c r="A24" s="328"/>
      <c r="B24" s="328"/>
      <c r="C24" s="328"/>
      <c r="D24" s="328"/>
      <c r="E24" s="328"/>
      <c r="F24" s="328"/>
      <c r="G24" s="328"/>
      <c r="H24" s="328"/>
      <c r="I24" s="328"/>
      <c r="J24" s="328"/>
      <c r="K24" s="328"/>
      <c r="L24" s="328"/>
      <c r="M24" s="328"/>
      <c r="N24" s="328"/>
      <c r="O24" s="328"/>
      <c r="P24" s="328"/>
      <c r="Q24" s="328"/>
    </row>
    <row r="25" spans="1:17" x14ac:dyDescent="0.2">
      <c r="A25" s="328"/>
      <c r="B25" s="328"/>
      <c r="C25" s="328"/>
      <c r="D25" s="328"/>
      <c r="E25" s="328"/>
      <c r="F25" s="328"/>
      <c r="G25" s="328"/>
      <c r="H25" s="328"/>
      <c r="I25" s="328"/>
      <c r="J25" s="328"/>
      <c r="K25" s="328"/>
      <c r="L25" s="328"/>
      <c r="M25" s="328"/>
      <c r="N25" s="328"/>
      <c r="O25" s="328"/>
      <c r="P25" s="328"/>
      <c r="Q25" s="328"/>
    </row>
    <row r="26" spans="1:17" x14ac:dyDescent="0.2">
      <c r="A26" s="328"/>
      <c r="B26" s="328"/>
      <c r="C26" s="328"/>
      <c r="D26" s="328"/>
      <c r="E26" s="328"/>
      <c r="F26" s="328"/>
      <c r="G26" s="328"/>
      <c r="H26" s="328"/>
      <c r="I26" s="328"/>
      <c r="J26" s="328"/>
      <c r="K26" s="328"/>
      <c r="L26" s="328"/>
      <c r="M26" s="328"/>
      <c r="N26" s="328"/>
      <c r="O26" s="328"/>
      <c r="P26" s="328"/>
      <c r="Q26" s="328"/>
    </row>
    <row r="27" spans="1:17" x14ac:dyDescent="0.2">
      <c r="A27" s="328"/>
      <c r="B27" s="328"/>
      <c r="C27" s="328"/>
      <c r="D27" s="328"/>
      <c r="E27" s="328"/>
      <c r="F27" s="328"/>
      <c r="G27" s="328"/>
      <c r="H27" s="328"/>
      <c r="I27" s="328"/>
      <c r="J27" s="328"/>
      <c r="K27" s="328"/>
      <c r="L27" s="328"/>
      <c r="M27" s="328"/>
      <c r="N27" s="328"/>
      <c r="O27" s="328"/>
      <c r="P27" s="328"/>
      <c r="Q27" s="328"/>
    </row>
    <row r="28" spans="1:17" x14ac:dyDescent="0.2">
      <c r="A28" s="328"/>
      <c r="B28" s="328"/>
      <c r="C28" s="328"/>
      <c r="D28" s="328"/>
      <c r="E28" s="328"/>
      <c r="F28" s="328"/>
      <c r="G28" s="328"/>
      <c r="H28" s="328"/>
      <c r="I28" s="328"/>
      <c r="J28" s="328"/>
      <c r="K28" s="328"/>
      <c r="L28" s="328"/>
      <c r="M28" s="328"/>
      <c r="N28" s="328"/>
      <c r="O28" s="328"/>
      <c r="P28" s="328"/>
      <c r="Q28" s="328"/>
    </row>
    <row r="29" spans="1:17" x14ac:dyDescent="0.2">
      <c r="A29" s="328"/>
      <c r="B29" s="328"/>
      <c r="C29" s="328"/>
      <c r="D29" s="328"/>
      <c r="E29" s="328"/>
      <c r="F29" s="328"/>
      <c r="G29" s="328"/>
      <c r="H29" s="328"/>
      <c r="I29" s="328"/>
      <c r="J29" s="328"/>
      <c r="K29" s="328"/>
      <c r="L29" s="328"/>
      <c r="M29" s="328"/>
      <c r="N29" s="328"/>
      <c r="O29" s="328"/>
      <c r="P29" s="328"/>
      <c r="Q29" s="328"/>
    </row>
    <row r="30" spans="1:17" x14ac:dyDescent="0.2">
      <c r="A30" s="328"/>
      <c r="B30" s="328"/>
      <c r="C30" s="328"/>
      <c r="D30" s="328"/>
      <c r="E30" s="328"/>
      <c r="F30" s="328"/>
      <c r="G30" s="328"/>
      <c r="H30" s="328"/>
      <c r="I30" s="328"/>
      <c r="J30" s="328"/>
      <c r="K30" s="328"/>
      <c r="L30" s="328"/>
      <c r="M30" s="328"/>
      <c r="N30" s="328"/>
      <c r="O30" s="328"/>
      <c r="P30" s="328"/>
      <c r="Q30" s="328"/>
    </row>
    <row r="31" spans="1:17" x14ac:dyDescent="0.2">
      <c r="A31" s="328"/>
      <c r="B31" s="328"/>
      <c r="C31" s="328"/>
      <c r="D31" s="328"/>
      <c r="E31" s="328"/>
      <c r="F31" s="328"/>
      <c r="G31" s="328"/>
      <c r="H31" s="328"/>
      <c r="I31" s="328"/>
      <c r="J31" s="328"/>
      <c r="K31" s="328"/>
      <c r="L31" s="328"/>
      <c r="M31" s="328"/>
      <c r="N31" s="328"/>
      <c r="O31" s="328"/>
      <c r="P31" s="328"/>
      <c r="Q31" s="328"/>
    </row>
    <row r="32" spans="1:17" x14ac:dyDescent="0.2">
      <c r="A32" s="328"/>
      <c r="B32" s="328"/>
      <c r="C32" s="328"/>
      <c r="D32" s="328"/>
      <c r="E32" s="328"/>
      <c r="F32" s="328"/>
      <c r="G32" s="328"/>
      <c r="H32" s="328"/>
      <c r="I32" s="328"/>
      <c r="J32" s="328"/>
      <c r="K32" s="328"/>
      <c r="L32" s="328"/>
      <c r="M32" s="328"/>
      <c r="N32" s="328"/>
      <c r="O32" s="328"/>
      <c r="P32" s="328"/>
      <c r="Q32" s="328"/>
    </row>
    <row r="33" spans="1:17" x14ac:dyDescent="0.2">
      <c r="A33" s="328"/>
      <c r="B33" s="328"/>
      <c r="C33" s="328"/>
      <c r="D33" s="328"/>
      <c r="E33" s="328"/>
      <c r="F33" s="328"/>
      <c r="G33" s="328"/>
      <c r="H33" s="328"/>
      <c r="I33" s="328"/>
      <c r="J33" s="328"/>
      <c r="K33" s="328"/>
      <c r="L33" s="328"/>
      <c r="M33" s="328"/>
      <c r="N33" s="328"/>
      <c r="O33" s="328"/>
      <c r="P33" s="328"/>
      <c r="Q33" s="328"/>
    </row>
    <row r="34" spans="1:17" x14ac:dyDescent="0.2">
      <c r="A34" s="328"/>
      <c r="B34" s="328"/>
      <c r="C34" s="328"/>
      <c r="D34" s="328"/>
      <c r="E34" s="328"/>
      <c r="F34" s="328"/>
      <c r="G34" s="328"/>
      <c r="H34" s="328"/>
      <c r="I34" s="328"/>
      <c r="J34" s="328"/>
      <c r="K34" s="328"/>
      <c r="L34" s="328"/>
      <c r="M34" s="328"/>
      <c r="N34" s="328"/>
      <c r="O34" s="328"/>
      <c r="P34" s="328"/>
      <c r="Q34" s="328"/>
    </row>
    <row r="35" spans="1:17" x14ac:dyDescent="0.2">
      <c r="A35" s="328"/>
      <c r="B35" s="328"/>
      <c r="C35" s="328"/>
      <c r="D35" s="328"/>
      <c r="E35" s="328"/>
      <c r="F35" s="328"/>
      <c r="G35" s="328"/>
      <c r="H35" s="328"/>
      <c r="I35" s="328"/>
      <c r="J35" s="328"/>
      <c r="K35" s="328"/>
      <c r="L35" s="328"/>
      <c r="M35" s="328"/>
      <c r="N35" s="328"/>
      <c r="O35" s="328"/>
      <c r="P35" s="328"/>
      <c r="Q35" s="328"/>
    </row>
    <row r="36" spans="1:17" x14ac:dyDescent="0.2">
      <c r="A36" s="328"/>
      <c r="B36" s="328"/>
      <c r="C36" s="328"/>
      <c r="D36" s="328"/>
      <c r="E36" s="328"/>
      <c r="F36" s="328"/>
      <c r="G36" s="328"/>
      <c r="H36" s="328"/>
      <c r="I36" s="328"/>
      <c r="J36" s="328"/>
      <c r="K36" s="328"/>
      <c r="L36" s="328"/>
      <c r="M36" s="328"/>
      <c r="N36" s="328"/>
      <c r="O36" s="328"/>
      <c r="P36" s="328"/>
      <c r="Q36" s="328"/>
    </row>
    <row r="37" spans="1:17" x14ac:dyDescent="0.2">
      <c r="A37" s="328"/>
      <c r="B37" s="328"/>
      <c r="C37" s="328"/>
      <c r="D37" s="328"/>
      <c r="E37" s="328"/>
      <c r="F37" s="328"/>
      <c r="G37" s="328"/>
      <c r="H37" s="328"/>
      <c r="I37" s="328"/>
      <c r="J37" s="328"/>
      <c r="K37" s="328"/>
      <c r="L37" s="328"/>
      <c r="M37" s="328"/>
      <c r="N37" s="328"/>
      <c r="O37" s="328"/>
      <c r="P37" s="328"/>
      <c r="Q37" s="328"/>
    </row>
    <row r="38" spans="1:17" x14ac:dyDescent="0.2">
      <c r="A38" s="328"/>
      <c r="B38" s="328"/>
      <c r="C38" s="328"/>
      <c r="D38" s="328"/>
      <c r="E38" s="328"/>
      <c r="F38" s="328"/>
      <c r="G38" s="328"/>
      <c r="H38" s="328"/>
      <c r="I38" s="328"/>
      <c r="J38" s="328"/>
      <c r="K38" s="328"/>
      <c r="L38" s="328"/>
      <c r="M38" s="328"/>
      <c r="N38" s="328"/>
      <c r="O38" s="328"/>
      <c r="P38" s="328"/>
      <c r="Q38" s="328"/>
    </row>
    <row r="39" spans="1:17" x14ac:dyDescent="0.2">
      <c r="A39" s="328"/>
      <c r="B39" s="328"/>
      <c r="C39" s="328"/>
      <c r="D39" s="328"/>
      <c r="E39" s="328"/>
      <c r="F39" s="328"/>
      <c r="G39" s="328"/>
      <c r="H39" s="328"/>
      <c r="I39" s="328"/>
      <c r="J39" s="328"/>
      <c r="K39" s="328"/>
      <c r="L39" s="328"/>
      <c r="M39" s="328"/>
      <c r="N39" s="328"/>
      <c r="O39" s="328"/>
      <c r="P39" s="328"/>
      <c r="Q39" s="328"/>
    </row>
    <row r="40" spans="1:17" x14ac:dyDescent="0.2">
      <c r="A40" s="328"/>
      <c r="B40" s="328"/>
      <c r="C40" s="328"/>
      <c r="D40" s="328"/>
      <c r="E40" s="328"/>
      <c r="F40" s="328"/>
      <c r="G40" s="328"/>
      <c r="H40" s="328"/>
      <c r="I40" s="328"/>
      <c r="J40" s="328"/>
      <c r="K40" s="328"/>
      <c r="L40" s="328"/>
      <c r="M40" s="328"/>
      <c r="N40" s="328"/>
      <c r="O40" s="328"/>
      <c r="P40" s="328"/>
      <c r="Q40" s="328"/>
    </row>
    <row r="41" spans="1:17" x14ac:dyDescent="0.2">
      <c r="A41" s="328"/>
      <c r="B41" s="328"/>
      <c r="C41" s="328"/>
      <c r="D41" s="328"/>
      <c r="E41" s="328"/>
      <c r="F41" s="328"/>
      <c r="G41" s="328"/>
      <c r="H41" s="328"/>
      <c r="I41" s="328"/>
      <c r="J41" s="328"/>
      <c r="K41" s="328"/>
      <c r="L41" s="328"/>
      <c r="M41" s="328"/>
      <c r="N41" s="328"/>
      <c r="O41" s="328"/>
      <c r="P41" s="328"/>
      <c r="Q41" s="328"/>
    </row>
    <row r="42" spans="1:17" x14ac:dyDescent="0.2">
      <c r="A42" s="328"/>
      <c r="B42" s="328"/>
      <c r="C42" s="328"/>
      <c r="D42" s="328"/>
      <c r="E42" s="328"/>
      <c r="F42" s="328"/>
      <c r="G42" s="328"/>
      <c r="H42" s="328"/>
      <c r="I42" s="328"/>
      <c r="J42" s="328"/>
      <c r="K42" s="328"/>
      <c r="L42" s="328"/>
      <c r="M42" s="328"/>
      <c r="N42" s="328"/>
      <c r="O42" s="328"/>
      <c r="P42" s="328"/>
      <c r="Q42" s="328"/>
    </row>
    <row r="43" spans="1:17" x14ac:dyDescent="0.2">
      <c r="A43" s="328"/>
      <c r="B43" s="328"/>
      <c r="C43" s="328"/>
      <c r="D43" s="328"/>
      <c r="E43" s="328"/>
      <c r="F43" s="328"/>
      <c r="G43" s="328"/>
      <c r="H43" s="328"/>
      <c r="I43" s="328"/>
      <c r="J43" s="328"/>
      <c r="K43" s="328"/>
      <c r="L43" s="328"/>
      <c r="M43" s="328"/>
      <c r="N43" s="328"/>
      <c r="O43" s="328"/>
      <c r="P43" s="328"/>
      <c r="Q43" s="328"/>
    </row>
    <row r="44" spans="1:17" x14ac:dyDescent="0.2">
      <c r="A44" s="328"/>
      <c r="B44" s="328"/>
      <c r="C44" s="328"/>
      <c r="D44" s="328"/>
      <c r="E44" s="328"/>
      <c r="F44" s="328"/>
      <c r="G44" s="328"/>
      <c r="H44" s="328"/>
      <c r="I44" s="328"/>
      <c r="J44" s="328"/>
      <c r="K44" s="328"/>
      <c r="L44" s="328"/>
      <c r="M44" s="328"/>
      <c r="N44" s="328"/>
      <c r="O44" s="328"/>
      <c r="P44" s="328"/>
      <c r="Q44" s="328"/>
    </row>
    <row r="45" spans="1:17" x14ac:dyDescent="0.2">
      <c r="A45" s="328"/>
      <c r="B45" s="328"/>
      <c r="C45" s="328"/>
      <c r="D45" s="328"/>
      <c r="E45" s="328"/>
      <c r="F45" s="328"/>
      <c r="G45" s="328"/>
      <c r="H45" s="328"/>
      <c r="I45" s="328"/>
      <c r="J45" s="328"/>
      <c r="K45" s="328"/>
      <c r="L45" s="328"/>
      <c r="M45" s="328"/>
      <c r="N45" s="328"/>
      <c r="O45" s="328"/>
      <c r="P45" s="328"/>
      <c r="Q45" s="328"/>
    </row>
    <row r="46" spans="1:17" x14ac:dyDescent="0.2">
      <c r="A46" s="328"/>
      <c r="B46" s="328"/>
      <c r="C46" s="328"/>
      <c r="D46" s="328"/>
      <c r="E46" s="328"/>
      <c r="F46" s="328"/>
      <c r="G46" s="328"/>
      <c r="H46" s="328"/>
      <c r="I46" s="328"/>
      <c r="J46" s="328"/>
      <c r="K46" s="328"/>
      <c r="L46" s="328"/>
      <c r="M46" s="328"/>
      <c r="N46" s="328"/>
      <c r="O46" s="328"/>
      <c r="P46" s="328"/>
      <c r="Q46" s="328"/>
    </row>
    <row r="47" spans="1:17" x14ac:dyDescent="0.2">
      <c r="A47" s="328"/>
      <c r="B47" s="328"/>
      <c r="C47" s="328"/>
      <c r="D47" s="328"/>
      <c r="E47" s="328"/>
      <c r="F47" s="328"/>
      <c r="G47" s="328"/>
      <c r="H47" s="328"/>
      <c r="I47" s="328"/>
      <c r="J47" s="328"/>
      <c r="K47" s="328"/>
      <c r="L47" s="328"/>
      <c r="M47" s="328"/>
      <c r="N47" s="328"/>
      <c r="O47" s="328"/>
      <c r="P47" s="328"/>
      <c r="Q47" s="328"/>
    </row>
    <row r="48" spans="1:17" x14ac:dyDescent="0.2">
      <c r="A48" s="328"/>
      <c r="B48" s="328"/>
      <c r="C48" s="328"/>
      <c r="D48" s="328"/>
      <c r="E48" s="328"/>
      <c r="F48" s="328"/>
      <c r="G48" s="328"/>
      <c r="H48" s="328"/>
      <c r="I48" s="328"/>
      <c r="J48" s="328"/>
      <c r="K48" s="328"/>
      <c r="L48" s="328"/>
      <c r="M48" s="328"/>
      <c r="N48" s="328"/>
      <c r="O48" s="328"/>
      <c r="P48" s="328"/>
      <c r="Q48" s="328"/>
    </row>
    <row r="49" spans="1:17" x14ac:dyDescent="0.2">
      <c r="A49" s="328"/>
      <c r="B49" s="328"/>
      <c r="C49" s="328"/>
      <c r="D49" s="328"/>
      <c r="E49" s="328"/>
      <c r="F49" s="328"/>
      <c r="G49" s="328"/>
      <c r="H49" s="328"/>
      <c r="I49" s="328"/>
      <c r="J49" s="328"/>
      <c r="K49" s="328"/>
      <c r="L49" s="328"/>
      <c r="M49" s="328"/>
      <c r="N49" s="328"/>
      <c r="O49" s="328"/>
      <c r="P49" s="328"/>
      <c r="Q49" s="328"/>
    </row>
    <row r="50" spans="1:17" x14ac:dyDescent="0.2">
      <c r="A50" s="328"/>
      <c r="B50" s="328"/>
      <c r="C50" s="328"/>
      <c r="D50" s="328"/>
      <c r="E50" s="328"/>
      <c r="F50" s="328"/>
      <c r="G50" s="328"/>
      <c r="H50" s="328"/>
      <c r="I50" s="328"/>
      <c r="J50" s="328"/>
      <c r="K50" s="328"/>
      <c r="L50" s="328"/>
      <c r="M50" s="328"/>
      <c r="N50" s="328"/>
      <c r="O50" s="328"/>
      <c r="P50" s="328"/>
      <c r="Q50" s="328"/>
    </row>
    <row r="51" spans="1:17" x14ac:dyDescent="0.2">
      <c r="A51" s="328"/>
      <c r="B51" s="328"/>
      <c r="C51" s="328"/>
      <c r="D51" s="328"/>
      <c r="E51" s="328"/>
      <c r="F51" s="328"/>
      <c r="G51" s="328"/>
      <c r="H51" s="328"/>
      <c r="I51" s="328"/>
      <c r="J51" s="328"/>
      <c r="K51" s="328"/>
      <c r="L51" s="328"/>
      <c r="M51" s="328"/>
      <c r="N51" s="328"/>
      <c r="O51" s="328"/>
      <c r="P51" s="328"/>
      <c r="Q51" s="328"/>
    </row>
    <row r="52" spans="1:17" x14ac:dyDescent="0.2">
      <c r="A52" s="328"/>
      <c r="B52" s="328"/>
      <c r="C52" s="328"/>
      <c r="D52" s="328"/>
      <c r="E52" s="328"/>
      <c r="F52" s="328"/>
      <c r="G52" s="328"/>
      <c r="H52" s="328"/>
      <c r="I52" s="328"/>
      <c r="J52" s="328"/>
      <c r="K52" s="328"/>
      <c r="L52" s="328"/>
      <c r="M52" s="328"/>
      <c r="N52" s="328"/>
      <c r="O52" s="328"/>
      <c r="P52" s="328"/>
      <c r="Q52" s="328"/>
    </row>
    <row r="53" spans="1:17" x14ac:dyDescent="0.2">
      <c r="A53" s="328"/>
      <c r="B53" s="328"/>
      <c r="C53" s="328"/>
      <c r="D53" s="328"/>
      <c r="E53" s="328"/>
      <c r="F53" s="328"/>
      <c r="G53" s="328"/>
      <c r="H53" s="328"/>
      <c r="I53" s="328"/>
      <c r="J53" s="328"/>
      <c r="K53" s="328"/>
      <c r="L53" s="328"/>
      <c r="M53" s="328"/>
      <c r="N53" s="328"/>
      <c r="O53" s="328"/>
      <c r="P53" s="328"/>
      <c r="Q53" s="328"/>
    </row>
    <row r="54" spans="1:17" x14ac:dyDescent="0.2">
      <c r="A54" s="328"/>
      <c r="B54" s="328"/>
      <c r="C54" s="328"/>
      <c r="D54" s="328"/>
      <c r="E54" s="328"/>
      <c r="F54" s="328"/>
      <c r="G54" s="328"/>
      <c r="H54" s="328"/>
      <c r="I54" s="328"/>
      <c r="J54" s="328"/>
      <c r="K54" s="328"/>
      <c r="L54" s="328"/>
      <c r="M54" s="328"/>
      <c r="N54" s="328"/>
      <c r="O54" s="328"/>
      <c r="P54" s="328"/>
      <c r="Q54" s="328"/>
    </row>
    <row r="55" spans="1:17" x14ac:dyDescent="0.2">
      <c r="A55" s="328"/>
      <c r="B55" s="328"/>
      <c r="C55" s="328"/>
      <c r="D55" s="328"/>
      <c r="E55" s="328"/>
      <c r="F55" s="328"/>
      <c r="G55" s="328"/>
      <c r="H55" s="328"/>
      <c r="I55" s="328"/>
      <c r="J55" s="328"/>
      <c r="K55" s="328"/>
      <c r="L55" s="328"/>
      <c r="M55" s="328"/>
      <c r="N55" s="328"/>
      <c r="O55" s="328"/>
      <c r="P55" s="328"/>
      <c r="Q55" s="328"/>
    </row>
    <row r="56" spans="1:17" x14ac:dyDescent="0.2">
      <c r="A56" s="328"/>
      <c r="B56" s="328"/>
      <c r="C56" s="328"/>
      <c r="D56" s="328"/>
      <c r="E56" s="328"/>
      <c r="F56" s="328"/>
      <c r="G56" s="328"/>
      <c r="H56" s="328"/>
      <c r="I56" s="328"/>
      <c r="J56" s="328"/>
      <c r="K56" s="328"/>
      <c r="L56" s="328"/>
      <c r="M56" s="328"/>
      <c r="N56" s="328"/>
      <c r="O56" s="328"/>
      <c r="P56" s="328"/>
      <c r="Q56" s="328"/>
    </row>
    <row r="57" spans="1:17" x14ac:dyDescent="0.2">
      <c r="A57" s="328"/>
      <c r="B57" s="328"/>
      <c r="C57" s="328"/>
      <c r="D57" s="328"/>
      <c r="E57" s="328"/>
      <c r="F57" s="328"/>
      <c r="G57" s="328"/>
      <c r="H57" s="328"/>
      <c r="I57" s="328"/>
      <c r="J57" s="328"/>
      <c r="K57" s="328"/>
      <c r="L57" s="328"/>
      <c r="M57" s="328"/>
      <c r="N57" s="328"/>
      <c r="O57" s="328"/>
      <c r="P57" s="328"/>
      <c r="Q57" s="328"/>
    </row>
    <row r="58" spans="1:17" x14ac:dyDescent="0.2">
      <c r="A58" s="328"/>
      <c r="B58" s="328"/>
      <c r="C58" s="328"/>
      <c r="D58" s="328"/>
      <c r="E58" s="328"/>
      <c r="F58" s="328"/>
      <c r="G58" s="328"/>
      <c r="H58" s="328"/>
      <c r="I58" s="328"/>
      <c r="J58" s="328"/>
      <c r="K58" s="328"/>
      <c r="L58" s="328"/>
      <c r="M58" s="328"/>
      <c r="N58" s="328"/>
      <c r="O58" s="328"/>
      <c r="P58" s="328"/>
      <c r="Q58" s="328"/>
    </row>
    <row r="59" spans="1:17" x14ac:dyDescent="0.2">
      <c r="A59" s="328"/>
      <c r="B59" s="328"/>
      <c r="C59" s="328"/>
      <c r="D59" s="328"/>
      <c r="E59" s="328"/>
      <c r="F59" s="328"/>
      <c r="G59" s="328"/>
      <c r="H59" s="328"/>
      <c r="I59" s="328"/>
      <c r="J59" s="328"/>
      <c r="K59" s="328"/>
      <c r="L59" s="328"/>
      <c r="M59" s="328"/>
      <c r="N59" s="328"/>
      <c r="O59" s="328"/>
      <c r="P59" s="328"/>
      <c r="Q59" s="328"/>
    </row>
    <row r="60" spans="1:17" x14ac:dyDescent="0.2">
      <c r="A60" s="328"/>
      <c r="B60" s="328"/>
      <c r="C60" s="328"/>
      <c r="D60" s="328"/>
      <c r="E60" s="328"/>
      <c r="F60" s="328"/>
      <c r="G60" s="328"/>
      <c r="H60" s="328"/>
      <c r="I60" s="328"/>
      <c r="J60" s="328"/>
      <c r="K60" s="328"/>
      <c r="L60" s="328"/>
      <c r="M60" s="328"/>
      <c r="N60" s="328"/>
      <c r="O60" s="328"/>
      <c r="P60" s="328"/>
      <c r="Q60" s="328"/>
    </row>
    <row r="61" spans="1:17" x14ac:dyDescent="0.2">
      <c r="A61" s="328"/>
      <c r="B61" s="328"/>
      <c r="C61" s="328"/>
      <c r="D61" s="328"/>
      <c r="E61" s="328"/>
      <c r="F61" s="328"/>
      <c r="G61" s="328"/>
      <c r="H61" s="328"/>
      <c r="I61" s="328"/>
      <c r="J61" s="328"/>
      <c r="K61" s="328"/>
      <c r="L61" s="328"/>
      <c r="M61" s="328"/>
      <c r="N61" s="328"/>
      <c r="O61" s="328"/>
      <c r="P61" s="328"/>
      <c r="Q61" s="328"/>
    </row>
    <row r="62" spans="1:17" x14ac:dyDescent="0.2">
      <c r="A62" s="328"/>
      <c r="B62" s="328"/>
      <c r="C62" s="328"/>
      <c r="D62" s="328"/>
      <c r="E62" s="328"/>
      <c r="F62" s="328"/>
      <c r="G62" s="328"/>
      <c r="H62" s="328"/>
      <c r="I62" s="328"/>
      <c r="J62" s="328"/>
      <c r="K62" s="328"/>
      <c r="L62" s="328"/>
      <c r="M62" s="328"/>
      <c r="N62" s="328"/>
      <c r="O62" s="328"/>
      <c r="P62" s="328"/>
      <c r="Q62" s="328"/>
    </row>
    <row r="63" spans="1:17" x14ac:dyDescent="0.2">
      <c r="A63" s="328"/>
      <c r="B63" s="328"/>
      <c r="C63" s="328"/>
      <c r="D63" s="328"/>
      <c r="E63" s="328"/>
      <c r="F63" s="328"/>
      <c r="G63" s="328"/>
      <c r="H63" s="328"/>
      <c r="I63" s="328"/>
      <c r="J63" s="328"/>
      <c r="K63" s="328"/>
      <c r="L63" s="328"/>
      <c r="M63" s="328"/>
      <c r="N63" s="328"/>
      <c r="O63" s="328"/>
      <c r="P63" s="328"/>
      <c r="Q63" s="328"/>
    </row>
    <row r="64" spans="1:17" x14ac:dyDescent="0.2">
      <c r="A64" s="328"/>
      <c r="B64" s="328"/>
      <c r="C64" s="328"/>
      <c r="D64" s="328"/>
      <c r="E64" s="328"/>
      <c r="F64" s="328"/>
      <c r="G64" s="328"/>
      <c r="H64" s="328"/>
      <c r="I64" s="328"/>
      <c r="J64" s="328"/>
      <c r="K64" s="328"/>
      <c r="L64" s="328"/>
      <c r="M64" s="328"/>
      <c r="N64" s="328"/>
      <c r="O64" s="328"/>
      <c r="P64" s="328"/>
      <c r="Q64" s="328"/>
    </row>
    <row r="65" spans="1:17" x14ac:dyDescent="0.2">
      <c r="A65" s="328"/>
      <c r="B65" s="328"/>
      <c r="C65" s="328"/>
      <c r="D65" s="328"/>
      <c r="E65" s="328"/>
      <c r="F65" s="328"/>
      <c r="G65" s="328"/>
      <c r="H65" s="328"/>
      <c r="I65" s="328"/>
      <c r="J65" s="328"/>
      <c r="K65" s="328"/>
      <c r="L65" s="328"/>
      <c r="M65" s="328"/>
      <c r="N65" s="328"/>
      <c r="O65" s="328"/>
      <c r="P65" s="328"/>
      <c r="Q65" s="328"/>
    </row>
    <row r="66" spans="1:17" x14ac:dyDescent="0.2">
      <c r="A66" s="328"/>
      <c r="B66" s="328"/>
      <c r="C66" s="328"/>
      <c r="D66" s="328"/>
      <c r="E66" s="328"/>
      <c r="F66" s="328"/>
      <c r="G66" s="328"/>
      <c r="H66" s="328"/>
      <c r="I66" s="328"/>
      <c r="J66" s="328"/>
      <c r="K66" s="328"/>
      <c r="L66" s="328"/>
      <c r="M66" s="328"/>
      <c r="N66" s="328"/>
      <c r="O66" s="328"/>
      <c r="P66" s="328"/>
      <c r="Q66" s="328"/>
    </row>
    <row r="67" spans="1:17" x14ac:dyDescent="0.2">
      <c r="A67" s="328"/>
      <c r="B67" s="328"/>
      <c r="C67" s="328"/>
      <c r="D67" s="328"/>
      <c r="E67" s="328"/>
      <c r="F67" s="328"/>
      <c r="G67" s="328"/>
      <c r="H67" s="328"/>
      <c r="I67" s="328"/>
      <c r="J67" s="328"/>
      <c r="K67" s="328"/>
      <c r="L67" s="328"/>
      <c r="M67" s="328"/>
      <c r="N67" s="328"/>
      <c r="O67" s="328"/>
      <c r="P67" s="328"/>
      <c r="Q67" s="328"/>
    </row>
    <row r="68" spans="1:17" x14ac:dyDescent="0.2">
      <c r="A68" s="328"/>
      <c r="B68" s="328"/>
      <c r="C68" s="328"/>
      <c r="D68" s="328"/>
      <c r="E68" s="328"/>
      <c r="F68" s="328"/>
      <c r="G68" s="328"/>
      <c r="H68" s="328"/>
      <c r="I68" s="328"/>
      <c r="J68" s="328"/>
      <c r="K68" s="328"/>
      <c r="L68" s="328"/>
      <c r="M68" s="328"/>
      <c r="N68" s="328"/>
      <c r="O68" s="328"/>
      <c r="P68" s="328"/>
      <c r="Q68" s="328"/>
    </row>
    <row r="69" spans="1:17" x14ac:dyDescent="0.2">
      <c r="A69" s="328"/>
      <c r="B69" s="328"/>
      <c r="C69" s="328"/>
      <c r="D69" s="328"/>
      <c r="E69" s="328"/>
      <c r="F69" s="328"/>
      <c r="G69" s="328"/>
      <c r="H69" s="328"/>
      <c r="I69" s="328"/>
      <c r="J69" s="328"/>
      <c r="K69" s="328"/>
      <c r="L69" s="328"/>
      <c r="M69" s="328"/>
      <c r="N69" s="328"/>
      <c r="O69" s="328"/>
      <c r="P69" s="328"/>
      <c r="Q69" s="328"/>
    </row>
    <row r="70" spans="1:17" x14ac:dyDescent="0.2">
      <c r="A70" s="328"/>
      <c r="B70" s="328"/>
      <c r="C70" s="328"/>
      <c r="D70" s="328"/>
      <c r="E70" s="328"/>
      <c r="F70" s="328"/>
      <c r="G70" s="328"/>
      <c r="H70" s="328"/>
      <c r="I70" s="328"/>
      <c r="J70" s="328"/>
      <c r="K70" s="328"/>
      <c r="L70" s="328"/>
      <c r="M70" s="328"/>
      <c r="N70" s="328"/>
      <c r="O70" s="328"/>
      <c r="P70" s="328"/>
      <c r="Q70" s="328"/>
    </row>
    <row r="71" spans="1:17" x14ac:dyDescent="0.2">
      <c r="A71" s="328"/>
      <c r="B71" s="328"/>
      <c r="C71" s="328"/>
      <c r="D71" s="328"/>
      <c r="E71" s="328"/>
      <c r="F71" s="328"/>
      <c r="G71" s="328"/>
      <c r="H71" s="328"/>
      <c r="I71" s="328"/>
      <c r="J71" s="328"/>
      <c r="K71" s="328"/>
      <c r="L71" s="328"/>
      <c r="M71" s="328"/>
      <c r="N71" s="328"/>
      <c r="O71" s="328"/>
      <c r="P71" s="328"/>
      <c r="Q71" s="328"/>
    </row>
    <row r="72" spans="1:17" x14ac:dyDescent="0.2">
      <c r="A72" s="328"/>
      <c r="B72" s="328"/>
      <c r="C72" s="328"/>
      <c r="D72" s="328"/>
      <c r="E72" s="328"/>
      <c r="F72" s="328"/>
      <c r="G72" s="328"/>
      <c r="H72" s="328"/>
      <c r="I72" s="328"/>
      <c r="J72" s="328"/>
      <c r="K72" s="328"/>
      <c r="L72" s="328"/>
      <c r="M72" s="328"/>
      <c r="N72" s="328"/>
      <c r="O72" s="328"/>
      <c r="P72" s="328"/>
      <c r="Q72" s="328"/>
    </row>
    <row r="73" spans="1:17" x14ac:dyDescent="0.2">
      <c r="A73" s="328"/>
      <c r="B73" s="328"/>
      <c r="C73" s="328"/>
      <c r="D73" s="328"/>
      <c r="E73" s="328"/>
      <c r="F73" s="328"/>
      <c r="G73" s="328"/>
      <c r="H73" s="328"/>
      <c r="I73" s="328"/>
      <c r="J73" s="328"/>
      <c r="K73" s="328"/>
      <c r="L73" s="328"/>
      <c r="M73" s="328"/>
      <c r="N73" s="328"/>
      <c r="O73" s="328"/>
      <c r="P73" s="328"/>
      <c r="Q73" s="328"/>
    </row>
    <row r="74" spans="1:17" x14ac:dyDescent="0.2">
      <c r="A74" s="328"/>
      <c r="B74" s="328"/>
      <c r="C74" s="328"/>
      <c r="D74" s="328"/>
      <c r="E74" s="328"/>
      <c r="F74" s="328"/>
      <c r="G74" s="328"/>
      <c r="H74" s="328"/>
      <c r="I74" s="328"/>
      <c r="J74" s="328"/>
      <c r="K74" s="328"/>
      <c r="L74" s="328"/>
      <c r="M74" s="328"/>
      <c r="N74" s="328"/>
      <c r="O74" s="328"/>
      <c r="P74" s="328"/>
      <c r="Q74" s="328"/>
    </row>
    <row r="75" spans="1:17" x14ac:dyDescent="0.2">
      <c r="A75" s="328"/>
      <c r="B75" s="328"/>
      <c r="C75" s="328"/>
      <c r="D75" s="328"/>
      <c r="E75" s="328"/>
      <c r="F75" s="328"/>
      <c r="G75" s="328"/>
      <c r="H75" s="328"/>
      <c r="I75" s="328"/>
      <c r="J75" s="328"/>
      <c r="K75" s="328"/>
      <c r="L75" s="328"/>
      <c r="M75" s="328"/>
      <c r="N75" s="328"/>
      <c r="O75" s="328"/>
      <c r="P75" s="328"/>
      <c r="Q75" s="328"/>
    </row>
    <row r="76" spans="1:17" x14ac:dyDescent="0.2">
      <c r="A76" s="328"/>
      <c r="B76" s="328"/>
      <c r="C76" s="328"/>
      <c r="D76" s="328"/>
      <c r="E76" s="328"/>
      <c r="F76" s="328"/>
      <c r="G76" s="328"/>
      <c r="H76" s="328"/>
      <c r="I76" s="328"/>
      <c r="J76" s="328"/>
      <c r="K76" s="328"/>
      <c r="L76" s="328"/>
      <c r="M76" s="328"/>
      <c r="N76" s="328"/>
      <c r="O76" s="328"/>
      <c r="P76" s="328"/>
      <c r="Q76" s="328"/>
    </row>
    <row r="77" spans="1:17" x14ac:dyDescent="0.2">
      <c r="A77" s="328"/>
      <c r="B77" s="328"/>
      <c r="C77" s="328"/>
      <c r="D77" s="328"/>
      <c r="E77" s="328"/>
      <c r="F77" s="328"/>
      <c r="G77" s="328"/>
      <c r="H77" s="328"/>
      <c r="I77" s="328"/>
      <c r="J77" s="328"/>
      <c r="K77" s="328"/>
      <c r="L77" s="328"/>
      <c r="M77" s="328"/>
      <c r="N77" s="328"/>
      <c r="O77" s="328"/>
      <c r="P77" s="328"/>
      <c r="Q77" s="328"/>
    </row>
    <row r="78" spans="1:17" x14ac:dyDescent="0.2">
      <c r="A78" s="328"/>
      <c r="B78" s="328"/>
      <c r="C78" s="328"/>
      <c r="D78" s="328"/>
      <c r="E78" s="328"/>
      <c r="F78" s="328"/>
      <c r="G78" s="328"/>
      <c r="H78" s="328"/>
      <c r="I78" s="328"/>
      <c r="J78" s="328"/>
      <c r="K78" s="328"/>
      <c r="L78" s="328"/>
      <c r="M78" s="328"/>
      <c r="N78" s="328"/>
      <c r="O78" s="328"/>
      <c r="P78" s="328"/>
      <c r="Q78" s="328"/>
    </row>
    <row r="79" spans="1:17" x14ac:dyDescent="0.2">
      <c r="A79" s="328"/>
      <c r="B79" s="328"/>
      <c r="C79" s="328"/>
      <c r="D79" s="328"/>
      <c r="E79" s="328"/>
      <c r="F79" s="328"/>
      <c r="G79" s="328"/>
      <c r="H79" s="328"/>
      <c r="I79" s="328"/>
      <c r="J79" s="328"/>
      <c r="K79" s="328"/>
      <c r="L79" s="328"/>
      <c r="M79" s="328"/>
      <c r="N79" s="328"/>
      <c r="O79" s="328"/>
      <c r="P79" s="328"/>
      <c r="Q79" s="328"/>
    </row>
    <row r="80" spans="1:17" x14ac:dyDescent="0.2">
      <c r="A80" s="328"/>
      <c r="B80" s="328"/>
      <c r="C80" s="328"/>
      <c r="D80" s="328"/>
      <c r="E80" s="328"/>
      <c r="F80" s="328"/>
      <c r="G80" s="328"/>
      <c r="H80" s="328"/>
      <c r="I80" s="328"/>
      <c r="J80" s="328"/>
      <c r="K80" s="328"/>
      <c r="L80" s="328"/>
      <c r="M80" s="328"/>
      <c r="N80" s="328"/>
      <c r="O80" s="328"/>
      <c r="P80" s="328"/>
      <c r="Q80" s="328"/>
    </row>
    <row r="81" spans="1:17" x14ac:dyDescent="0.2">
      <c r="A81" s="328"/>
      <c r="B81" s="328"/>
      <c r="C81" s="328"/>
      <c r="D81" s="328"/>
      <c r="E81" s="328"/>
      <c r="F81" s="328"/>
      <c r="G81" s="328"/>
      <c r="H81" s="328"/>
      <c r="I81" s="328"/>
      <c r="J81" s="328"/>
      <c r="K81" s="328"/>
      <c r="L81" s="328"/>
      <c r="M81" s="328"/>
      <c r="N81" s="328"/>
      <c r="O81" s="328"/>
      <c r="P81" s="328"/>
      <c r="Q81" s="328"/>
    </row>
    <row r="82" spans="1:17" x14ac:dyDescent="0.2">
      <c r="A82" s="328"/>
      <c r="B82" s="328"/>
      <c r="C82" s="328"/>
      <c r="D82" s="328"/>
      <c r="E82" s="328"/>
      <c r="F82" s="328"/>
      <c r="G82" s="328"/>
      <c r="H82" s="328"/>
      <c r="I82" s="328"/>
      <c r="J82" s="328"/>
      <c r="K82" s="328"/>
      <c r="L82" s="328"/>
      <c r="M82" s="328"/>
      <c r="N82" s="328"/>
      <c r="O82" s="328"/>
      <c r="P82" s="328"/>
      <c r="Q82" s="328"/>
    </row>
    <row r="83" spans="1:17" x14ac:dyDescent="0.2">
      <c r="A83" s="328"/>
      <c r="B83" s="328"/>
      <c r="C83" s="328"/>
      <c r="D83" s="328"/>
      <c r="E83" s="328"/>
      <c r="F83" s="328"/>
      <c r="G83" s="328"/>
      <c r="H83" s="328"/>
      <c r="I83" s="328"/>
      <c r="J83" s="328"/>
      <c r="K83" s="328"/>
      <c r="L83" s="328"/>
      <c r="M83" s="328"/>
      <c r="N83" s="328"/>
      <c r="O83" s="328"/>
      <c r="P83" s="328"/>
      <c r="Q83" s="328"/>
    </row>
  </sheetData>
  <sheetProtection algorithmName="SHA-512" hashValue="k9YJIsHvzlqsBWkOLoxp8BKVZLENIoXGVDoKYOUrsDU9cQKvDqNp9dfT2xUAomNEHWMTIuQWCVXvGYNDMqUeJA==" saltValue="POPq1FBr0bTa+Obvcq4kqw==" spinCount="100000" sheet="1" selectLockedCells="1" selectUnlockedCells="1"/>
  <pageMargins left="0.7" right="0.7" top="0.75" bottom="0.75" header="0.3" footer="0.3"/>
  <pageSetup orientation="portrait" r:id="rId1"/>
  <drawing r:id="rId2"/>
  <legacyDrawing r:id="rId3"/>
  <oleObjects>
    <mc:AlternateContent xmlns:mc="http://schemas.openxmlformats.org/markup-compatibility/2006">
      <mc:Choice Requires="x14">
        <oleObject progId="Document" shapeId="1043" r:id="rId4">
          <objectPr defaultSize="0" autoPict="0" r:id="rId5">
            <anchor moveWithCells="1">
              <from>
                <xdr:col>0</xdr:col>
                <xdr:colOff>85725</xdr:colOff>
                <xdr:row>1</xdr:row>
                <xdr:rowOff>76200</xdr:rowOff>
              </from>
              <to>
                <xdr:col>16</xdr:col>
                <xdr:colOff>285750</xdr:colOff>
                <xdr:row>82</xdr:row>
                <xdr:rowOff>47625</xdr:rowOff>
              </to>
            </anchor>
          </objectPr>
        </oleObject>
      </mc:Choice>
      <mc:Fallback>
        <oleObject progId="Document" shapeId="1043" r:id="rId4"/>
      </mc:Fallback>
    </mc:AlternateContent>
  </oleObjec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rgb="FFFFFF00"/>
  </sheetPr>
  <dimension ref="A1:U42"/>
  <sheetViews>
    <sheetView showGridLines="0" topLeftCell="C10" zoomScale="90" zoomScaleNormal="90" workbookViewId="0">
      <selection activeCell="K26" sqref="K26"/>
    </sheetView>
  </sheetViews>
  <sheetFormatPr defaultColWidth="8.85546875" defaultRowHeight="12.75" x14ac:dyDescent="0.2"/>
  <cols>
    <col min="1" max="2" width="8.85546875" style="369"/>
    <col min="3" max="3" width="6.140625" style="369" customWidth="1"/>
    <col min="4" max="4" width="16.7109375" style="369" customWidth="1"/>
    <col min="5" max="5" width="16.7109375" style="369" bestFit="1" customWidth="1"/>
    <col min="6" max="6" width="18.42578125" style="369" bestFit="1" customWidth="1"/>
    <col min="7" max="7" width="15.28515625" style="369" customWidth="1"/>
    <col min="8" max="8" width="17.85546875" style="369" customWidth="1"/>
    <col min="9" max="9" width="15.28515625" style="369" customWidth="1"/>
    <col min="10" max="10" width="15" style="369" customWidth="1"/>
    <col min="11" max="11" width="28.42578125" style="369" customWidth="1"/>
    <col min="12" max="12" width="13" style="369" customWidth="1"/>
    <col min="13" max="13" width="18" style="369" customWidth="1"/>
    <col min="14" max="14" width="16.7109375" style="369" customWidth="1"/>
    <col min="15" max="15" width="16.5703125" style="369" customWidth="1"/>
    <col min="16" max="16" width="18.140625" style="369" customWidth="1"/>
    <col min="17" max="17" width="15.42578125" style="369" customWidth="1"/>
    <col min="18" max="18" width="17" style="369" customWidth="1"/>
    <col min="19" max="16384" width="8.85546875" style="369"/>
  </cols>
  <sheetData>
    <row r="1" spans="1:21" x14ac:dyDescent="0.2">
      <c r="A1" s="500"/>
      <c r="B1" s="500"/>
      <c r="C1" s="500"/>
      <c r="D1" s="500"/>
      <c r="E1" s="500"/>
      <c r="F1" s="500"/>
      <c r="G1" s="500"/>
      <c r="H1" s="500"/>
      <c r="I1" s="500"/>
      <c r="J1" s="500"/>
      <c r="K1" s="500"/>
      <c r="L1" s="500"/>
      <c r="M1" s="500"/>
      <c r="N1" s="500"/>
      <c r="O1" s="500"/>
      <c r="P1" s="500"/>
      <c r="Q1" s="500"/>
      <c r="R1" s="500"/>
      <c r="S1" s="500"/>
      <c r="T1" s="500"/>
      <c r="U1" s="500"/>
    </row>
    <row r="2" spans="1:21" ht="13.5" thickBot="1" x14ac:dyDescent="0.25">
      <c r="A2" s="500"/>
      <c r="B2" s="500"/>
      <c r="C2" s="500"/>
      <c r="D2" s="500"/>
      <c r="E2" s="500"/>
      <c r="F2" s="500"/>
      <c r="G2" s="500"/>
      <c r="H2" s="500"/>
      <c r="I2" s="500"/>
      <c r="J2" s="500"/>
      <c r="K2" s="500"/>
      <c r="L2" s="500"/>
      <c r="M2" s="500"/>
      <c r="N2" s="500"/>
      <c r="O2" s="500"/>
      <c r="P2" s="500"/>
      <c r="Q2" s="500"/>
      <c r="R2" s="500"/>
      <c r="S2" s="500"/>
      <c r="T2" s="500"/>
      <c r="U2" s="500"/>
    </row>
    <row r="3" spans="1:21" ht="35.25" customHeight="1" thickBot="1" x14ac:dyDescent="0.25">
      <c r="A3" s="500"/>
      <c r="B3" s="491"/>
      <c r="C3" s="492"/>
      <c r="D3" s="492"/>
      <c r="E3" s="492"/>
      <c r="F3" s="492"/>
      <c r="G3" s="492"/>
      <c r="H3" s="492"/>
      <c r="I3" s="492"/>
      <c r="J3" s="492"/>
      <c r="K3" s="492"/>
      <c r="L3" s="492"/>
      <c r="M3" s="492"/>
      <c r="N3" s="492"/>
      <c r="O3" s="492"/>
      <c r="P3" s="492"/>
      <c r="Q3" s="492"/>
      <c r="R3" s="492"/>
      <c r="S3" s="493"/>
      <c r="T3" s="500"/>
      <c r="U3" s="500"/>
    </row>
    <row r="4" spans="1:21" ht="18" x14ac:dyDescent="0.25">
      <c r="A4" s="500"/>
      <c r="B4" s="494"/>
      <c r="C4" s="485"/>
      <c r="D4" s="962" t="s">
        <v>149</v>
      </c>
      <c r="E4" s="963"/>
      <c r="F4" s="963"/>
      <c r="G4" s="963"/>
      <c r="H4" s="963"/>
      <c r="I4" s="963"/>
      <c r="J4" s="964"/>
      <c r="K4" s="485"/>
      <c r="L4" s="485"/>
      <c r="M4" s="485"/>
      <c r="N4" s="485"/>
      <c r="O4" s="485"/>
      <c r="P4" s="485"/>
      <c r="Q4" s="485"/>
      <c r="R4" s="485"/>
      <c r="S4" s="495"/>
      <c r="T4" s="500"/>
      <c r="U4" s="500"/>
    </row>
    <row r="5" spans="1:21" ht="75" customHeight="1" x14ac:dyDescent="0.2">
      <c r="A5" s="500"/>
      <c r="B5" s="494"/>
      <c r="C5" s="485"/>
      <c r="D5" s="968" t="s">
        <v>683</v>
      </c>
      <c r="E5" s="969"/>
      <c r="F5" s="969"/>
      <c r="G5" s="969"/>
      <c r="H5" s="969"/>
      <c r="I5" s="969"/>
      <c r="J5" s="969"/>
      <c r="K5" s="969"/>
      <c r="L5" s="969"/>
      <c r="M5" s="969"/>
      <c r="N5" s="969"/>
      <c r="O5" s="969"/>
      <c r="P5" s="969"/>
      <c r="Q5" s="969"/>
      <c r="R5" s="970"/>
      <c r="S5" s="495"/>
      <c r="T5" s="500"/>
      <c r="U5" s="500"/>
    </row>
    <row r="6" spans="1:21" x14ac:dyDescent="0.2">
      <c r="A6" s="500"/>
      <c r="B6" s="494"/>
      <c r="C6" s="485"/>
      <c r="D6" s="490"/>
      <c r="E6" s="490"/>
      <c r="F6" s="490"/>
      <c r="G6" s="490"/>
      <c r="H6" s="490"/>
      <c r="I6" s="490"/>
      <c r="J6" s="485"/>
      <c r="K6" s="485"/>
      <c r="L6" s="485"/>
      <c r="M6" s="485"/>
      <c r="N6" s="485"/>
      <c r="O6" s="485"/>
      <c r="P6" s="485"/>
      <c r="Q6" s="485"/>
      <c r="R6" s="485"/>
      <c r="S6" s="495"/>
      <c r="T6" s="500"/>
      <c r="U6" s="500"/>
    </row>
    <row r="7" spans="1:21" ht="15.75" customHeight="1" x14ac:dyDescent="0.2">
      <c r="A7" s="500"/>
      <c r="B7" s="494"/>
      <c r="C7" s="485"/>
      <c r="D7" s="967" t="s">
        <v>150</v>
      </c>
      <c r="E7" s="967"/>
      <c r="F7" s="967"/>
      <c r="G7" s="967"/>
      <c r="H7" s="967"/>
      <c r="I7" s="967"/>
      <c r="J7" s="967"/>
      <c r="K7" s="967"/>
      <c r="L7" s="967"/>
      <c r="M7" s="967"/>
      <c r="N7" s="967"/>
      <c r="O7" s="967"/>
      <c r="P7" s="967"/>
      <c r="Q7" s="967"/>
      <c r="R7" s="967"/>
      <c r="S7" s="495"/>
      <c r="T7" s="500"/>
      <c r="U7" s="500"/>
    </row>
    <row r="8" spans="1:21" x14ac:dyDescent="0.2">
      <c r="A8" s="500"/>
      <c r="B8" s="494"/>
      <c r="C8" s="485"/>
      <c r="D8" s="967"/>
      <c r="E8" s="967"/>
      <c r="F8" s="967"/>
      <c r="G8" s="967"/>
      <c r="H8" s="967"/>
      <c r="I8" s="967"/>
      <c r="J8" s="967"/>
      <c r="K8" s="967"/>
      <c r="L8" s="967"/>
      <c r="M8" s="967"/>
      <c r="N8" s="967"/>
      <c r="O8" s="967"/>
      <c r="P8" s="967"/>
      <c r="Q8" s="967"/>
      <c r="R8" s="967"/>
      <c r="S8" s="495"/>
      <c r="T8" s="500"/>
      <c r="U8" s="500"/>
    </row>
    <row r="9" spans="1:21" ht="117" customHeight="1" thickBot="1" x14ac:dyDescent="0.25">
      <c r="A9" s="500"/>
      <c r="B9" s="494"/>
      <c r="C9" s="485"/>
      <c r="D9" s="965" t="s">
        <v>682</v>
      </c>
      <c r="E9" s="966"/>
      <c r="F9" s="966"/>
      <c r="G9" s="966"/>
      <c r="H9" s="966"/>
      <c r="I9" s="966"/>
      <c r="J9" s="966"/>
      <c r="K9" s="966"/>
      <c r="L9" s="966"/>
      <c r="M9" s="966"/>
      <c r="N9" s="966"/>
      <c r="O9" s="966"/>
      <c r="P9" s="966"/>
      <c r="Q9" s="966"/>
      <c r="R9" s="966"/>
      <c r="S9" s="495"/>
      <c r="T9" s="500"/>
      <c r="U9" s="500"/>
    </row>
    <row r="10" spans="1:21" ht="17.45" customHeight="1" x14ac:dyDescent="0.3">
      <c r="A10" s="500"/>
      <c r="B10" s="494"/>
      <c r="C10" s="485"/>
      <c r="D10" s="959" t="s">
        <v>151</v>
      </c>
      <c r="E10" s="960"/>
      <c r="F10" s="960"/>
      <c r="G10" s="960"/>
      <c r="H10" s="960"/>
      <c r="I10" s="960"/>
      <c r="J10" s="960"/>
      <c r="K10" s="960"/>
      <c r="L10" s="960"/>
      <c r="M10" s="960"/>
      <c r="N10" s="960"/>
      <c r="O10" s="960"/>
      <c r="P10" s="960"/>
      <c r="Q10" s="960"/>
      <c r="R10" s="961"/>
      <c r="S10" s="495"/>
      <c r="T10" s="500"/>
      <c r="U10" s="500"/>
    </row>
    <row r="11" spans="1:21" ht="162.6" customHeight="1" x14ac:dyDescent="0.2">
      <c r="A11" s="500"/>
      <c r="B11" s="494"/>
      <c r="C11" s="485"/>
      <c r="D11" s="461" t="s">
        <v>152</v>
      </c>
      <c r="E11" s="446" t="s">
        <v>153</v>
      </c>
      <c r="F11" s="446" t="s">
        <v>154</v>
      </c>
      <c r="G11" s="446" t="s">
        <v>155</v>
      </c>
      <c r="H11" s="446" t="s">
        <v>156</v>
      </c>
      <c r="I11" s="446" t="s">
        <v>157</v>
      </c>
      <c r="J11" s="446" t="s">
        <v>158</v>
      </c>
      <c r="K11" s="446" t="s">
        <v>159</v>
      </c>
      <c r="L11" s="453" t="s">
        <v>160</v>
      </c>
      <c r="M11" s="452" t="s">
        <v>161</v>
      </c>
      <c r="N11" s="453" t="s">
        <v>162</v>
      </c>
      <c r="O11" s="453" t="s">
        <v>163</v>
      </c>
      <c r="P11" s="453" t="s">
        <v>164</v>
      </c>
      <c r="Q11" s="453" t="s">
        <v>165</v>
      </c>
      <c r="R11" s="451" t="s">
        <v>166</v>
      </c>
      <c r="S11" s="495"/>
      <c r="T11" s="500"/>
      <c r="U11" s="500"/>
    </row>
    <row r="12" spans="1:21" x14ac:dyDescent="0.2">
      <c r="A12" s="500"/>
      <c r="B12" s="494"/>
      <c r="C12" s="485"/>
      <c r="D12" s="462">
        <v>2020</v>
      </c>
      <c r="E12" s="974"/>
      <c r="F12" s="975"/>
      <c r="G12" s="975"/>
      <c r="H12" s="975"/>
      <c r="I12" s="975"/>
      <c r="J12" s="975"/>
      <c r="K12" s="975"/>
      <c r="L12" s="975"/>
      <c r="M12" s="975"/>
      <c r="N12" s="975"/>
      <c r="O12" s="975"/>
      <c r="P12" s="975"/>
      <c r="Q12" s="975"/>
      <c r="R12" s="976"/>
      <c r="S12" s="495"/>
      <c r="T12" s="500"/>
      <c r="U12" s="500"/>
    </row>
    <row r="13" spans="1:21" x14ac:dyDescent="0.2">
      <c r="A13" s="500"/>
      <c r="B13" s="494"/>
      <c r="C13" s="485"/>
      <c r="D13" s="371" t="s">
        <v>845</v>
      </c>
      <c r="E13" s="448">
        <v>13920</v>
      </c>
      <c r="F13" s="447">
        <v>36500</v>
      </c>
      <c r="G13" s="471">
        <f>IF(E13="",0,(E13/F13))</f>
        <v>0.38136986301369863</v>
      </c>
      <c r="H13" s="447">
        <f>3100-250</f>
        <v>2850</v>
      </c>
      <c r="I13" s="450">
        <v>12</v>
      </c>
      <c r="J13" s="469">
        <f>IF(H13="",0,((H13/12)*I13*G13)+(12-I13)*(H13/12))</f>
        <v>1086.9041095890411</v>
      </c>
      <c r="K13" s="447">
        <f>3354.1-250</f>
        <v>3104.1</v>
      </c>
      <c r="L13" s="469">
        <f t="shared" ref="L13:L29" si="0">IF(K13="",0,((K13/12)*$I13*$G13)+(12-I13)*(K13/12))</f>
        <v>1183.8101917808222</v>
      </c>
      <c r="M13" s="971">
        <f>SUM(H13:H17)</f>
        <v>2850</v>
      </c>
      <c r="N13" s="971">
        <f>SUM(J13:J17)</f>
        <v>1086.9041095890411</v>
      </c>
      <c r="O13" s="459"/>
      <c r="P13" s="971">
        <f>SUM(K13:K17)</f>
        <v>3104.1</v>
      </c>
      <c r="Q13" s="971">
        <f>SUM(L13:L17)</f>
        <v>1183.8101917808222</v>
      </c>
      <c r="R13" s="455"/>
      <c r="S13" s="495"/>
      <c r="T13" s="500"/>
      <c r="U13" s="500"/>
    </row>
    <row r="14" spans="1:21" x14ac:dyDescent="0.2">
      <c r="A14" s="500"/>
      <c r="B14" s="494"/>
      <c r="C14" s="485"/>
      <c r="D14" s="371" t="s">
        <v>167</v>
      </c>
      <c r="E14" s="447"/>
      <c r="F14" s="447"/>
      <c r="G14" s="471">
        <f>IF(E14="",0,(E14/F14))</f>
        <v>0</v>
      </c>
      <c r="H14" s="447"/>
      <c r="I14" s="450"/>
      <c r="J14" s="469">
        <f>IF(H14="",0,((H14/12)*I14*G14)+(12-I14)*(H14/12))</f>
        <v>0</v>
      </c>
      <c r="K14" s="447"/>
      <c r="L14" s="469">
        <f t="shared" si="0"/>
        <v>0</v>
      </c>
      <c r="M14" s="972"/>
      <c r="N14" s="972"/>
      <c r="O14" s="460"/>
      <c r="P14" s="972"/>
      <c r="Q14" s="972"/>
      <c r="R14" s="456"/>
      <c r="S14" s="495"/>
      <c r="T14" s="500"/>
      <c r="U14" s="500"/>
    </row>
    <row r="15" spans="1:21" x14ac:dyDescent="0.2">
      <c r="A15" s="500"/>
      <c r="B15" s="494"/>
      <c r="C15" s="485"/>
      <c r="D15" s="371" t="s">
        <v>168</v>
      </c>
      <c r="E15" s="447"/>
      <c r="F15" s="447"/>
      <c r="G15" s="471">
        <f>IF(E15="",0,(E15/F15))</f>
        <v>0</v>
      </c>
      <c r="H15" s="447"/>
      <c r="I15" s="450"/>
      <c r="J15" s="469">
        <f>IF(H15="",0,((H15/12)*I15*G15)+(12-I15)*(H15/12))</f>
        <v>0</v>
      </c>
      <c r="K15" s="447"/>
      <c r="L15" s="469">
        <f t="shared" si="0"/>
        <v>0</v>
      </c>
      <c r="M15" s="972"/>
      <c r="N15" s="972"/>
      <c r="O15" s="460"/>
      <c r="P15" s="972"/>
      <c r="Q15" s="972"/>
      <c r="R15" s="456"/>
      <c r="S15" s="495"/>
      <c r="T15" s="500"/>
      <c r="U15" s="500"/>
    </row>
    <row r="16" spans="1:21" x14ac:dyDescent="0.2">
      <c r="A16" s="500"/>
      <c r="B16" s="494"/>
      <c r="C16" s="485"/>
      <c r="D16" s="371" t="s">
        <v>169</v>
      </c>
      <c r="E16" s="447"/>
      <c r="F16" s="447"/>
      <c r="G16" s="471">
        <f>IF(E16="",0,(E16/F16))</f>
        <v>0</v>
      </c>
      <c r="H16" s="447"/>
      <c r="I16" s="450"/>
      <c r="J16" s="469">
        <f>IF(H16="",0,((H16/12)*I16*G16)+(12-I16)*(H16/12))</f>
        <v>0</v>
      </c>
      <c r="K16" s="447"/>
      <c r="L16" s="469">
        <f t="shared" si="0"/>
        <v>0</v>
      </c>
      <c r="M16" s="972"/>
      <c r="N16" s="972"/>
      <c r="O16" s="460"/>
      <c r="P16" s="972"/>
      <c r="Q16" s="972"/>
      <c r="R16" s="456"/>
      <c r="S16" s="495"/>
      <c r="T16" s="500"/>
      <c r="U16" s="500"/>
    </row>
    <row r="17" spans="1:21" x14ac:dyDescent="0.2">
      <c r="A17" s="500"/>
      <c r="B17" s="494"/>
      <c r="C17" s="485"/>
      <c r="D17" s="371" t="s">
        <v>170</v>
      </c>
      <c r="E17" s="447"/>
      <c r="F17" s="447"/>
      <c r="G17" s="471">
        <f>IF(E17="",0,(E17/F17))</f>
        <v>0</v>
      </c>
      <c r="H17" s="447"/>
      <c r="I17" s="450"/>
      <c r="J17" s="469">
        <f>IF(H17="",0,((H17/12)*I17*G17)+(12-I17)*(H17/12))</f>
        <v>0</v>
      </c>
      <c r="K17" s="447"/>
      <c r="L17" s="469">
        <f t="shared" si="0"/>
        <v>0</v>
      </c>
      <c r="M17" s="973"/>
      <c r="N17" s="973"/>
      <c r="O17" s="466">
        <f>N13-M13</f>
        <v>-1763.0958904109589</v>
      </c>
      <c r="P17" s="973"/>
      <c r="Q17" s="973"/>
      <c r="R17" s="468">
        <f>Q13-P13</f>
        <v>-1920.2898082191778</v>
      </c>
      <c r="S17" s="495"/>
      <c r="T17" s="500"/>
      <c r="U17" s="500"/>
    </row>
    <row r="18" spans="1:21" x14ac:dyDescent="0.2">
      <c r="A18" s="500"/>
      <c r="B18" s="494"/>
      <c r="C18" s="485"/>
      <c r="D18" s="463">
        <v>2019</v>
      </c>
      <c r="E18" s="981"/>
      <c r="F18" s="982"/>
      <c r="G18" s="982"/>
      <c r="H18" s="982"/>
      <c r="I18" s="982"/>
      <c r="J18" s="982"/>
      <c r="K18" s="982"/>
      <c r="L18" s="982"/>
      <c r="M18" s="982"/>
      <c r="N18" s="982"/>
      <c r="O18" s="982"/>
      <c r="P18" s="982"/>
      <c r="Q18" s="982"/>
      <c r="R18" s="983"/>
      <c r="S18" s="495"/>
      <c r="T18" s="500"/>
      <c r="U18" s="500"/>
    </row>
    <row r="19" spans="1:21" x14ac:dyDescent="0.2">
      <c r="A19" s="500"/>
      <c r="B19" s="494"/>
      <c r="C19" s="485"/>
      <c r="D19" s="371" t="s">
        <v>845</v>
      </c>
      <c r="E19" s="448">
        <v>13920</v>
      </c>
      <c r="F19" s="447">
        <v>36500</v>
      </c>
      <c r="G19" s="471">
        <f>IF(E19="",0,(E19/F19))</f>
        <v>0.38136986301369863</v>
      </c>
      <c r="H19" s="447">
        <f>3273-229</f>
        <v>3044</v>
      </c>
      <c r="I19" s="449">
        <v>12</v>
      </c>
      <c r="J19" s="469">
        <f>IF(H19="",0,((H19/12)*I19*G19)+(12-I19)*(H19/12))</f>
        <v>1160.8898630136987</v>
      </c>
      <c r="K19" s="447">
        <f>3293.5-229</f>
        <v>3064.5</v>
      </c>
      <c r="L19" s="469">
        <f t="shared" si="0"/>
        <v>1168.7079452054795</v>
      </c>
      <c r="M19" s="971">
        <f>SUM(H19:H23)</f>
        <v>3044</v>
      </c>
      <c r="N19" s="971">
        <f>SUM(J19:J23)</f>
        <v>1160.8898630136987</v>
      </c>
      <c r="O19" s="458"/>
      <c r="P19" s="971">
        <f>SUM(K19:K23)</f>
        <v>3064.5</v>
      </c>
      <c r="Q19" s="971">
        <f>SUM(L19:L23)</f>
        <v>1168.7079452054795</v>
      </c>
      <c r="R19" s="455"/>
      <c r="S19" s="495"/>
      <c r="T19" s="500"/>
      <c r="U19" s="500"/>
    </row>
    <row r="20" spans="1:21" x14ac:dyDescent="0.2">
      <c r="A20" s="500"/>
      <c r="B20" s="494"/>
      <c r="C20" s="485"/>
      <c r="D20" s="371" t="s">
        <v>167</v>
      </c>
      <c r="E20" s="448"/>
      <c r="F20" s="447"/>
      <c r="G20" s="471">
        <f>IF(E20="",0,(E20/F20))</f>
        <v>0</v>
      </c>
      <c r="H20" s="447"/>
      <c r="I20" s="449"/>
      <c r="J20" s="469">
        <f>IF(H20="",0,((H20/12)*I20*G20)+(12-I20)*(H20/12))</f>
        <v>0</v>
      </c>
      <c r="K20" s="447"/>
      <c r="L20" s="469">
        <f t="shared" si="0"/>
        <v>0</v>
      </c>
      <c r="M20" s="972"/>
      <c r="N20" s="972"/>
      <c r="O20" s="457"/>
      <c r="P20" s="972"/>
      <c r="Q20" s="972"/>
      <c r="R20" s="456"/>
      <c r="S20" s="495"/>
      <c r="T20" s="500"/>
      <c r="U20" s="500"/>
    </row>
    <row r="21" spans="1:21" x14ac:dyDescent="0.2">
      <c r="A21" s="500"/>
      <c r="B21" s="494"/>
      <c r="C21" s="485"/>
      <c r="D21" s="371" t="s">
        <v>168</v>
      </c>
      <c r="E21" s="448"/>
      <c r="F21" s="447"/>
      <c r="G21" s="471">
        <f>IF(E21="",0,(E21/F21))</f>
        <v>0</v>
      </c>
      <c r="H21" s="447"/>
      <c r="I21" s="449"/>
      <c r="J21" s="469">
        <f>IF(H21="",0,((H21/12)*I21*G21)+(12-I21)*(H21/12))</f>
        <v>0</v>
      </c>
      <c r="K21" s="447"/>
      <c r="L21" s="469">
        <f t="shared" si="0"/>
        <v>0</v>
      </c>
      <c r="M21" s="972"/>
      <c r="N21" s="972"/>
      <c r="O21" s="457"/>
      <c r="P21" s="972"/>
      <c r="Q21" s="972"/>
      <c r="R21" s="456"/>
      <c r="S21" s="495"/>
      <c r="T21" s="500"/>
      <c r="U21" s="500"/>
    </row>
    <row r="22" spans="1:21" x14ac:dyDescent="0.2">
      <c r="A22" s="500"/>
      <c r="B22" s="494"/>
      <c r="C22" s="485"/>
      <c r="D22" s="371" t="s">
        <v>169</v>
      </c>
      <c r="E22" s="448"/>
      <c r="F22" s="447"/>
      <c r="G22" s="471">
        <f>IF(E22="",0,(E22/F22))</f>
        <v>0</v>
      </c>
      <c r="H22" s="447"/>
      <c r="I22" s="449"/>
      <c r="J22" s="469">
        <f>IF(H22="",0,((H22/12)*I22*G22)+(12-I22)*(H22/12))</f>
        <v>0</v>
      </c>
      <c r="K22" s="447"/>
      <c r="L22" s="469">
        <f t="shared" si="0"/>
        <v>0</v>
      </c>
      <c r="M22" s="972"/>
      <c r="N22" s="972"/>
      <c r="O22" s="457"/>
      <c r="P22" s="972"/>
      <c r="Q22" s="972"/>
      <c r="R22" s="456"/>
      <c r="S22" s="495"/>
      <c r="T22" s="500"/>
      <c r="U22" s="500"/>
    </row>
    <row r="23" spans="1:21" x14ac:dyDescent="0.2">
      <c r="A23" s="500"/>
      <c r="B23" s="494"/>
      <c r="C23" s="485"/>
      <c r="D23" s="371" t="s">
        <v>170</v>
      </c>
      <c r="E23" s="448"/>
      <c r="F23" s="447"/>
      <c r="G23" s="471">
        <f>IF(E23="",0,(E23/F23))</f>
        <v>0</v>
      </c>
      <c r="H23" s="447"/>
      <c r="I23" s="449"/>
      <c r="J23" s="469">
        <f>IF(H23="",0,((H23/12)*I23*G23)+(12-I23)*(H23/12))</f>
        <v>0</v>
      </c>
      <c r="K23" s="447"/>
      <c r="L23" s="469">
        <f t="shared" si="0"/>
        <v>0</v>
      </c>
      <c r="M23" s="973"/>
      <c r="N23" s="973"/>
      <c r="O23" s="466">
        <f>N19-M19</f>
        <v>-1883.1101369863013</v>
      </c>
      <c r="P23" s="973"/>
      <c r="Q23" s="973"/>
      <c r="R23" s="468">
        <f>Q19-P19</f>
        <v>-1895.7920547945205</v>
      </c>
      <c r="S23" s="495"/>
      <c r="T23" s="500"/>
      <c r="U23" s="500"/>
    </row>
    <row r="24" spans="1:21" x14ac:dyDescent="0.2">
      <c r="A24" s="500"/>
      <c r="B24" s="494"/>
      <c r="C24" s="485"/>
      <c r="D24" s="464">
        <v>2018</v>
      </c>
      <c r="E24" s="978"/>
      <c r="F24" s="979"/>
      <c r="G24" s="979"/>
      <c r="H24" s="979"/>
      <c r="I24" s="979"/>
      <c r="J24" s="979"/>
      <c r="K24" s="979"/>
      <c r="L24" s="979"/>
      <c r="M24" s="979"/>
      <c r="N24" s="979"/>
      <c r="O24" s="979"/>
      <c r="P24" s="979"/>
      <c r="Q24" s="979"/>
      <c r="R24" s="980"/>
      <c r="S24" s="495"/>
      <c r="T24" s="500"/>
      <c r="U24" s="500"/>
    </row>
    <row r="25" spans="1:21" x14ac:dyDescent="0.2">
      <c r="A25" s="500"/>
      <c r="B25" s="494"/>
      <c r="C25" s="485"/>
      <c r="D25" s="371" t="s">
        <v>845</v>
      </c>
      <c r="E25" s="448">
        <v>13920</v>
      </c>
      <c r="F25" s="447">
        <v>36500</v>
      </c>
      <c r="G25" s="471">
        <f>IF(E25="",0,(E25/F25))</f>
        <v>0.38136986301369863</v>
      </c>
      <c r="H25" s="447">
        <f>3122-220</f>
        <v>2902</v>
      </c>
      <c r="I25" s="449">
        <v>12</v>
      </c>
      <c r="J25" s="469">
        <f>IF(H25="",0,((H25/12)*I25*G25)+(12-I25)*(H25/12))</f>
        <v>1106.7353424657533</v>
      </c>
      <c r="K25" s="447">
        <f>3125.7-220</f>
        <v>2905.7</v>
      </c>
      <c r="L25" s="469">
        <f t="shared" si="0"/>
        <v>1108.146410958904</v>
      </c>
      <c r="M25" s="971">
        <f>SUM(H25:H29)</f>
        <v>2902</v>
      </c>
      <c r="N25" s="971">
        <f>SUM(J25:J29)</f>
        <v>1106.7353424657533</v>
      </c>
      <c r="O25" s="458"/>
      <c r="P25" s="971">
        <f>SUM(K25:K29)</f>
        <v>2905.7</v>
      </c>
      <c r="Q25" s="971">
        <f>SUM(L25:L29)</f>
        <v>1108.146410958904</v>
      </c>
      <c r="R25" s="455"/>
      <c r="S25" s="495"/>
      <c r="T25" s="500"/>
      <c r="U25" s="500"/>
    </row>
    <row r="26" spans="1:21" x14ac:dyDescent="0.2">
      <c r="A26" s="500"/>
      <c r="B26" s="494"/>
      <c r="C26" s="485"/>
      <c r="D26" s="371" t="s">
        <v>167</v>
      </c>
      <c r="E26" s="448"/>
      <c r="F26" s="447"/>
      <c r="G26" s="471">
        <f>IF(E26="",0,(E26/F26))</f>
        <v>0</v>
      </c>
      <c r="H26" s="447"/>
      <c r="I26" s="449"/>
      <c r="J26" s="469">
        <f>IF(H26="",0,((H26/12)*I26*G26)+(12-I26)*(H26/12))</f>
        <v>0</v>
      </c>
      <c r="K26" s="447"/>
      <c r="L26" s="469">
        <f t="shared" si="0"/>
        <v>0</v>
      </c>
      <c r="M26" s="972"/>
      <c r="N26" s="972"/>
      <c r="O26" s="457"/>
      <c r="P26" s="972"/>
      <c r="Q26" s="972"/>
      <c r="R26" s="456"/>
      <c r="S26" s="495"/>
      <c r="T26" s="500"/>
      <c r="U26" s="500"/>
    </row>
    <row r="27" spans="1:21" x14ac:dyDescent="0.2">
      <c r="A27" s="500"/>
      <c r="B27" s="494"/>
      <c r="C27" s="485"/>
      <c r="D27" s="371" t="s">
        <v>168</v>
      </c>
      <c r="E27" s="448"/>
      <c r="F27" s="447"/>
      <c r="G27" s="471">
        <f>IF(E27="",0,(E27/F27))</f>
        <v>0</v>
      </c>
      <c r="H27" s="447"/>
      <c r="I27" s="449"/>
      <c r="J27" s="469">
        <f>IF(H27="",0,((H27/12)*I27*G27)+(12-I27)*(H27/12))</f>
        <v>0</v>
      </c>
      <c r="K27" s="447"/>
      <c r="L27" s="469">
        <f t="shared" si="0"/>
        <v>0</v>
      </c>
      <c r="M27" s="972"/>
      <c r="N27" s="972"/>
      <c r="O27" s="457"/>
      <c r="P27" s="972"/>
      <c r="Q27" s="972"/>
      <c r="R27" s="456"/>
      <c r="S27" s="495"/>
      <c r="T27" s="500"/>
      <c r="U27" s="500"/>
    </row>
    <row r="28" spans="1:21" x14ac:dyDescent="0.2">
      <c r="A28" s="500"/>
      <c r="B28" s="494"/>
      <c r="C28" s="485"/>
      <c r="D28" s="371" t="s">
        <v>169</v>
      </c>
      <c r="E28" s="448"/>
      <c r="F28" s="447"/>
      <c r="G28" s="471">
        <f>IF(E28="",0,(E28/F28))</f>
        <v>0</v>
      </c>
      <c r="H28" s="447"/>
      <c r="I28" s="449"/>
      <c r="J28" s="469">
        <f>IF(H28="",0,((H28/12)*I28*G28)+(12-I28)*(H28/12))</f>
        <v>0</v>
      </c>
      <c r="K28" s="447"/>
      <c r="L28" s="469">
        <f t="shared" si="0"/>
        <v>0</v>
      </c>
      <c r="M28" s="972"/>
      <c r="N28" s="972"/>
      <c r="O28" s="457"/>
      <c r="P28" s="972"/>
      <c r="Q28" s="972"/>
      <c r="R28" s="456"/>
      <c r="S28" s="495"/>
      <c r="T28" s="500"/>
      <c r="U28" s="500"/>
    </row>
    <row r="29" spans="1:21" ht="13.5" thickBot="1" x14ac:dyDescent="0.25">
      <c r="A29" s="500"/>
      <c r="B29" s="494"/>
      <c r="C29" s="485"/>
      <c r="D29" s="454" t="s">
        <v>170</v>
      </c>
      <c r="E29" s="448"/>
      <c r="F29" s="447"/>
      <c r="G29" s="472">
        <f>IF(E29="",0,(E29/F29))</f>
        <v>0</v>
      </c>
      <c r="H29" s="447"/>
      <c r="I29" s="449"/>
      <c r="J29" s="470">
        <f>IF(H29="",0,((H29/12)*I29*G29)+(12-I29)*(H29/12))</f>
        <v>0</v>
      </c>
      <c r="K29" s="447"/>
      <c r="L29" s="470">
        <f t="shared" si="0"/>
        <v>0</v>
      </c>
      <c r="M29" s="977"/>
      <c r="N29" s="977"/>
      <c r="O29" s="465">
        <f>N25-M25</f>
        <v>-1795.2646575342467</v>
      </c>
      <c r="P29" s="977"/>
      <c r="Q29" s="977"/>
      <c r="R29" s="467">
        <f>Q25-P25</f>
        <v>-1797.5535890410958</v>
      </c>
      <c r="S29" s="495"/>
      <c r="T29" s="500"/>
      <c r="U29" s="500"/>
    </row>
    <row r="30" spans="1:21" x14ac:dyDescent="0.2">
      <c r="A30" s="500"/>
      <c r="B30" s="494"/>
      <c r="C30" s="485"/>
      <c r="D30" s="485"/>
      <c r="E30" s="485"/>
      <c r="F30" s="485"/>
      <c r="G30" s="485"/>
      <c r="H30" s="485"/>
      <c r="I30" s="485"/>
      <c r="J30" s="485"/>
      <c r="K30" s="485"/>
      <c r="L30" s="485"/>
      <c r="M30" s="485"/>
      <c r="N30" s="485"/>
      <c r="O30" s="485"/>
      <c r="P30" s="485"/>
      <c r="Q30" s="485"/>
      <c r="R30" s="485"/>
      <c r="S30" s="495"/>
      <c r="T30" s="500"/>
      <c r="U30" s="500"/>
    </row>
    <row r="31" spans="1:21" x14ac:dyDescent="0.2">
      <c r="A31" s="500"/>
      <c r="B31" s="494"/>
      <c r="C31" s="485"/>
      <c r="D31" s="485"/>
      <c r="E31" s="485"/>
      <c r="F31" s="485"/>
      <c r="G31" s="485"/>
      <c r="H31" s="485"/>
      <c r="I31" s="485"/>
      <c r="J31" s="485"/>
      <c r="K31" s="485"/>
      <c r="L31" s="485"/>
      <c r="M31" s="485"/>
      <c r="N31" s="485"/>
      <c r="O31" s="485"/>
      <c r="P31" s="485"/>
      <c r="Q31" s="485"/>
      <c r="R31" s="485"/>
      <c r="S31" s="495"/>
      <c r="T31" s="500"/>
      <c r="U31" s="500"/>
    </row>
    <row r="32" spans="1:21" x14ac:dyDescent="0.2">
      <c r="A32" s="500"/>
      <c r="B32" s="494"/>
      <c r="C32" s="485"/>
      <c r="D32" s="485"/>
      <c r="E32" s="485"/>
      <c r="F32" s="485"/>
      <c r="G32" s="485"/>
      <c r="H32" s="485"/>
      <c r="I32" s="485"/>
      <c r="J32" s="485"/>
      <c r="K32" s="485"/>
      <c r="L32" s="485"/>
      <c r="M32" s="485"/>
      <c r="N32" s="485"/>
      <c r="O32" s="485"/>
      <c r="P32" s="485"/>
      <c r="Q32" s="485"/>
      <c r="R32" s="485"/>
      <c r="S32" s="495"/>
      <c r="T32" s="500"/>
      <c r="U32" s="500"/>
    </row>
    <row r="33" spans="1:21" x14ac:dyDescent="0.2">
      <c r="A33" s="500"/>
      <c r="B33" s="496"/>
      <c r="C33" s="485"/>
      <c r="D33" s="485"/>
      <c r="E33" s="485"/>
      <c r="F33" s="485"/>
      <c r="G33" s="485"/>
      <c r="H33" s="485"/>
      <c r="I33" s="485"/>
      <c r="J33" s="485"/>
      <c r="K33" s="485"/>
      <c r="L33" s="485"/>
      <c r="M33" s="485"/>
      <c r="N33" s="485"/>
      <c r="O33" s="485"/>
      <c r="P33" s="485"/>
      <c r="Q33" s="485"/>
      <c r="R33" s="485"/>
      <c r="S33" s="495"/>
      <c r="T33" s="500"/>
      <c r="U33" s="500"/>
    </row>
    <row r="34" spans="1:21" ht="13.5" thickBot="1" x14ac:dyDescent="0.25">
      <c r="A34" s="500"/>
      <c r="B34" s="497"/>
      <c r="C34" s="498"/>
      <c r="D34" s="498"/>
      <c r="E34" s="498"/>
      <c r="F34" s="498"/>
      <c r="G34" s="498"/>
      <c r="H34" s="498"/>
      <c r="I34" s="498"/>
      <c r="J34" s="498"/>
      <c r="K34" s="498"/>
      <c r="L34" s="498"/>
      <c r="M34" s="498"/>
      <c r="N34" s="498"/>
      <c r="O34" s="498"/>
      <c r="P34" s="498"/>
      <c r="Q34" s="498"/>
      <c r="R34" s="498"/>
      <c r="S34" s="499"/>
      <c r="T34" s="500"/>
      <c r="U34" s="500"/>
    </row>
    <row r="35" spans="1:21" x14ac:dyDescent="0.2">
      <c r="A35" s="500"/>
      <c r="B35" s="500"/>
      <c r="C35" s="500"/>
      <c r="D35" s="500"/>
      <c r="E35" s="500"/>
      <c r="F35" s="500"/>
      <c r="G35" s="500"/>
      <c r="H35" s="500"/>
      <c r="I35" s="500"/>
      <c r="J35" s="500"/>
      <c r="K35" s="500"/>
      <c r="L35" s="500"/>
      <c r="M35" s="500"/>
      <c r="N35" s="500"/>
      <c r="O35" s="500"/>
      <c r="P35" s="500"/>
      <c r="Q35" s="500"/>
      <c r="R35" s="500"/>
      <c r="S35" s="500"/>
      <c r="T35" s="500"/>
      <c r="U35" s="500"/>
    </row>
    <row r="36" spans="1:21" x14ac:dyDescent="0.2">
      <c r="A36" s="500"/>
      <c r="B36" s="500"/>
      <c r="C36" s="500"/>
      <c r="D36" s="500"/>
      <c r="E36" s="500"/>
      <c r="F36" s="500"/>
      <c r="G36" s="500"/>
      <c r="H36" s="500"/>
      <c r="I36" s="500"/>
      <c r="J36" s="500"/>
      <c r="K36" s="500"/>
      <c r="L36" s="500"/>
      <c r="M36" s="500"/>
      <c r="N36" s="500"/>
      <c r="O36" s="500"/>
      <c r="P36" s="500"/>
      <c r="Q36" s="500"/>
      <c r="R36" s="500"/>
      <c r="S36" s="500"/>
      <c r="T36" s="500"/>
      <c r="U36" s="500"/>
    </row>
    <row r="37" spans="1:21" x14ac:dyDescent="0.2">
      <c r="A37" s="500"/>
      <c r="B37" s="500"/>
      <c r="C37" s="500"/>
      <c r="D37" s="500"/>
      <c r="E37" s="500"/>
      <c r="F37" s="500"/>
      <c r="G37" s="500"/>
      <c r="H37" s="500"/>
      <c r="I37" s="500"/>
      <c r="J37" s="500"/>
      <c r="K37" s="500"/>
      <c r="L37" s="500"/>
      <c r="M37" s="500"/>
      <c r="N37" s="500"/>
      <c r="O37" s="500"/>
      <c r="P37" s="500"/>
      <c r="Q37" s="500"/>
      <c r="R37" s="500"/>
      <c r="S37" s="500"/>
      <c r="T37" s="500"/>
      <c r="U37" s="500"/>
    </row>
    <row r="38" spans="1:21" x14ac:dyDescent="0.2">
      <c r="A38" s="500"/>
      <c r="B38" s="500"/>
      <c r="C38" s="500"/>
      <c r="D38" s="500"/>
      <c r="E38" s="500"/>
      <c r="F38" s="500"/>
      <c r="G38" s="500"/>
      <c r="H38" s="500"/>
      <c r="I38" s="500"/>
      <c r="J38" s="500"/>
      <c r="K38" s="500"/>
      <c r="L38" s="500"/>
      <c r="M38" s="500"/>
      <c r="N38" s="500"/>
      <c r="O38" s="500"/>
      <c r="P38" s="500"/>
      <c r="Q38" s="500"/>
      <c r="R38" s="500"/>
      <c r="S38" s="500"/>
      <c r="T38" s="500"/>
      <c r="U38" s="500"/>
    </row>
    <row r="39" spans="1:21" x14ac:dyDescent="0.2">
      <c r="A39" s="500"/>
      <c r="B39" s="500"/>
      <c r="C39" s="500"/>
      <c r="D39" s="500"/>
      <c r="E39" s="500"/>
      <c r="F39" s="500"/>
      <c r="G39" s="500"/>
      <c r="H39" s="500"/>
      <c r="I39" s="500"/>
      <c r="J39" s="500"/>
      <c r="K39" s="500"/>
      <c r="L39" s="500"/>
      <c r="M39" s="500"/>
      <c r="N39" s="500"/>
      <c r="O39" s="500"/>
      <c r="P39" s="500"/>
      <c r="Q39" s="500"/>
      <c r="R39" s="500"/>
      <c r="S39" s="500"/>
      <c r="T39" s="500"/>
      <c r="U39" s="500"/>
    </row>
    <row r="40" spans="1:21" x14ac:dyDescent="0.2">
      <c r="A40" s="500"/>
      <c r="B40" s="500"/>
      <c r="C40" s="500"/>
      <c r="D40" s="500"/>
      <c r="E40" s="500"/>
      <c r="F40" s="500"/>
      <c r="G40" s="500"/>
      <c r="H40" s="500"/>
      <c r="I40" s="500"/>
      <c r="J40" s="500"/>
      <c r="K40" s="500"/>
      <c r="L40" s="500"/>
      <c r="M40" s="500"/>
      <c r="N40" s="500"/>
      <c r="O40" s="500"/>
      <c r="P40" s="500"/>
      <c r="Q40" s="500"/>
      <c r="R40" s="500"/>
      <c r="S40" s="500"/>
      <c r="T40" s="500"/>
      <c r="U40" s="500"/>
    </row>
    <row r="41" spans="1:21" x14ac:dyDescent="0.2">
      <c r="A41" s="500"/>
      <c r="B41" s="500"/>
      <c r="C41" s="500"/>
      <c r="D41" s="500"/>
      <c r="E41" s="500"/>
      <c r="F41" s="500"/>
      <c r="G41" s="500"/>
      <c r="H41" s="500"/>
      <c r="I41" s="500"/>
      <c r="J41" s="500"/>
      <c r="K41" s="500"/>
      <c r="L41" s="500"/>
      <c r="M41" s="500"/>
      <c r="N41" s="500"/>
      <c r="O41" s="500"/>
      <c r="P41" s="500"/>
      <c r="Q41" s="500"/>
      <c r="R41" s="500"/>
      <c r="S41" s="500"/>
      <c r="T41" s="500"/>
      <c r="U41" s="500"/>
    </row>
    <row r="42" spans="1:21" x14ac:dyDescent="0.2">
      <c r="A42" s="500"/>
      <c r="B42" s="500"/>
      <c r="C42" s="500"/>
      <c r="D42" s="500"/>
      <c r="E42" s="500"/>
      <c r="F42" s="500"/>
      <c r="G42" s="500"/>
      <c r="H42" s="500"/>
      <c r="I42" s="500"/>
      <c r="J42" s="500"/>
      <c r="K42" s="500"/>
      <c r="L42" s="500"/>
      <c r="M42" s="500"/>
      <c r="N42" s="500"/>
      <c r="O42" s="500"/>
      <c r="P42" s="500"/>
      <c r="Q42" s="500"/>
      <c r="R42" s="500"/>
      <c r="S42" s="500"/>
      <c r="T42" s="500"/>
      <c r="U42" s="500"/>
    </row>
  </sheetData>
  <sheetProtection algorithmName="SHA-512" hashValue="vwgPP48RylX/rDv5GlVA3+FEA2lycgPWtSZ8RjUWud2aXDDwo1mwDy79xHruR8bj836lylGkgp6RTh36W1maUw==" saltValue="4M382BmggIclwWQMZgVyNw==" spinCount="100000" sheet="1" formatRows="0" selectLockedCells="1"/>
  <mergeCells count="20">
    <mergeCell ref="Q19:Q23"/>
    <mergeCell ref="Q25:Q29"/>
    <mergeCell ref="E24:R24"/>
    <mergeCell ref="E18:R18"/>
    <mergeCell ref="M19:M23"/>
    <mergeCell ref="M25:M29"/>
    <mergeCell ref="N19:N23"/>
    <mergeCell ref="N25:N29"/>
    <mergeCell ref="P19:P23"/>
    <mergeCell ref="P25:P29"/>
    <mergeCell ref="M13:M17"/>
    <mergeCell ref="N13:N17"/>
    <mergeCell ref="P13:P17"/>
    <mergeCell ref="Q13:Q17"/>
    <mergeCell ref="E12:R12"/>
    <mergeCell ref="D10:R10"/>
    <mergeCell ref="D4:J4"/>
    <mergeCell ref="D9:R9"/>
    <mergeCell ref="D7:R8"/>
    <mergeCell ref="D5:R5"/>
  </mergeCells>
  <pageMargins left="0.7" right="0.7" top="0.75" bottom="0.75" header="0.3" footer="0.3"/>
  <pageSetup scale="97" fitToWidth="0" fitToHeight="0" orientation="portrait" r:id="rId1"/>
  <colBreaks count="1" manualBreakCount="1">
    <brk id="14" min="2" max="89"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FFFF00"/>
    <pageSetUpPr fitToPage="1"/>
  </sheetPr>
  <dimension ref="A1:X31"/>
  <sheetViews>
    <sheetView showGridLines="0" topLeftCell="A7" zoomScale="90" zoomScaleNormal="90" workbookViewId="0">
      <selection activeCell="G22" sqref="G22"/>
    </sheetView>
  </sheetViews>
  <sheetFormatPr defaultColWidth="0" defaultRowHeight="0" customHeight="1" zeroHeight="1" x14ac:dyDescent="0.2"/>
  <cols>
    <col min="1" max="1" width="2.42578125" style="60" customWidth="1"/>
    <col min="2" max="2" width="3.85546875" style="60" customWidth="1"/>
    <col min="3" max="3" width="53.140625" style="60" bestFit="1" customWidth="1"/>
    <col min="4" max="4" width="13.140625" style="60" bestFit="1" customWidth="1"/>
    <col min="5" max="5" width="10.7109375" style="60" customWidth="1"/>
    <col min="6" max="6" width="10.140625" style="60" customWidth="1"/>
    <col min="7" max="7" width="10.7109375" style="60" customWidth="1"/>
    <col min="8" max="8" width="39.5703125" style="60" customWidth="1"/>
    <col min="9" max="9" width="5.42578125" style="60" customWidth="1"/>
    <col min="10" max="10" width="4.28515625" style="60" customWidth="1"/>
    <col min="11" max="11" width="2.7109375" style="60" customWidth="1"/>
    <col min="12" max="12" width="9.140625" style="60" hidden="1" customWidth="1"/>
    <col min="13" max="14" width="11.5703125" style="60" hidden="1" customWidth="1"/>
    <col min="15" max="15" width="10.28515625" style="60" hidden="1" customWidth="1"/>
    <col min="16" max="16" width="15.28515625" style="60" hidden="1" customWidth="1"/>
    <col min="17" max="16384" width="8.85546875" style="60" hidden="1"/>
  </cols>
  <sheetData>
    <row r="1" spans="2:24" ht="13.5" thickBot="1" x14ac:dyDescent="0.25">
      <c r="K1" s="118"/>
      <c r="O1" s="318"/>
    </row>
    <row r="2" spans="2:24" ht="12.75" x14ac:dyDescent="0.2">
      <c r="B2" s="61"/>
      <c r="C2" s="62"/>
      <c r="D2" s="62"/>
      <c r="E2" s="62"/>
      <c r="F2" s="62"/>
      <c r="G2" s="62"/>
      <c r="H2" s="62"/>
      <c r="I2" s="62"/>
      <c r="J2" s="423"/>
      <c r="K2" s="396"/>
      <c r="L2" s="62"/>
      <c r="M2" s="62"/>
      <c r="N2" s="12"/>
      <c r="O2" s="12"/>
      <c r="P2" s="63"/>
    </row>
    <row r="3" spans="2:24" ht="15.75" x14ac:dyDescent="0.25">
      <c r="B3" s="64"/>
      <c r="C3" s="393" t="s">
        <v>171</v>
      </c>
      <c r="D3" s="12"/>
      <c r="E3" s="12"/>
      <c r="F3" s="12"/>
      <c r="G3" s="12"/>
      <c r="H3" s="12"/>
      <c r="I3" s="12"/>
      <c r="J3" s="424"/>
      <c r="K3" s="396"/>
      <c r="L3" s="12"/>
      <c r="M3" s="12"/>
      <c r="N3" s="12"/>
      <c r="O3" s="12"/>
      <c r="P3" s="65"/>
    </row>
    <row r="4" spans="2:24" ht="151.15" customHeight="1" x14ac:dyDescent="0.2">
      <c r="B4" s="64"/>
      <c r="C4" s="988" t="s">
        <v>684</v>
      </c>
      <c r="D4" s="988"/>
      <c r="E4" s="988"/>
      <c r="F4" s="988"/>
      <c r="G4" s="988"/>
      <c r="H4" s="988"/>
      <c r="I4" s="988"/>
      <c r="J4" s="425"/>
      <c r="K4" s="397"/>
      <c r="L4" s="179"/>
      <c r="M4" s="179"/>
      <c r="N4" s="179"/>
      <c r="O4" s="179"/>
      <c r="P4" s="113"/>
    </row>
    <row r="5" spans="2:24" ht="81.599999999999994" customHeight="1" thickBot="1" x14ac:dyDescent="0.25">
      <c r="B5" s="64"/>
      <c r="C5" s="987" t="s">
        <v>685</v>
      </c>
      <c r="D5" s="987"/>
      <c r="E5" s="987"/>
      <c r="F5" s="987"/>
      <c r="G5" s="987"/>
      <c r="H5" s="987"/>
      <c r="I5" s="987"/>
      <c r="J5" s="426"/>
      <c r="K5" s="398"/>
      <c r="L5" s="395"/>
      <c r="M5" s="395"/>
      <c r="N5" s="395"/>
      <c r="O5" s="395"/>
      <c r="P5" s="113"/>
    </row>
    <row r="6" spans="2:24" ht="16.5" customHeight="1" thickBot="1" x14ac:dyDescent="0.25">
      <c r="B6" s="64"/>
      <c r="C6" s="989" t="s">
        <v>61</v>
      </c>
      <c r="D6" s="990"/>
      <c r="E6" s="990"/>
      <c r="F6" s="990"/>
      <c r="G6" s="991"/>
      <c r="H6" s="992" t="s">
        <v>837</v>
      </c>
      <c r="I6" s="993"/>
      <c r="J6" s="426"/>
      <c r="K6" s="398"/>
      <c r="L6" s="395"/>
      <c r="M6" s="395"/>
      <c r="N6" s="395"/>
      <c r="O6" s="395"/>
      <c r="P6" s="113"/>
    </row>
    <row r="7" spans="2:24" ht="13.5" thickBot="1" x14ac:dyDescent="0.25">
      <c r="B7" s="64"/>
      <c r="C7" s="12"/>
      <c r="D7" s="12"/>
      <c r="E7" s="12"/>
      <c r="F7" s="12"/>
      <c r="G7" s="12"/>
      <c r="H7" s="12"/>
      <c r="I7" s="12"/>
      <c r="J7" s="424"/>
      <c r="K7" s="396"/>
      <c r="L7" s="12"/>
      <c r="M7" s="12"/>
      <c r="N7" s="12"/>
      <c r="O7" s="12"/>
      <c r="P7" s="65"/>
    </row>
    <row r="8" spans="2:24" s="70" customFormat="1" ht="20.45" customHeight="1" x14ac:dyDescent="0.25">
      <c r="B8" s="96"/>
      <c r="C8" s="984" t="s">
        <v>172</v>
      </c>
      <c r="D8" s="985"/>
      <c r="E8" s="985"/>
      <c r="F8" s="985"/>
      <c r="G8" s="985"/>
      <c r="H8" s="986"/>
      <c r="I8" s="406"/>
      <c r="J8" s="427"/>
      <c r="K8" s="405"/>
      <c r="L8" s="405"/>
      <c r="M8" s="405"/>
      <c r="N8" s="405"/>
      <c r="O8" s="405"/>
      <c r="P8" s="405"/>
      <c r="Q8" s="405"/>
      <c r="R8" s="405"/>
      <c r="S8" s="405"/>
      <c r="T8" s="405"/>
      <c r="U8" s="405"/>
      <c r="V8" s="405"/>
      <c r="W8" s="405"/>
      <c r="X8" s="405"/>
    </row>
    <row r="9" spans="2:24" s="116" customFormat="1" ht="51" customHeight="1" x14ac:dyDescent="0.2">
      <c r="B9" s="114"/>
      <c r="C9" s="107"/>
      <c r="D9" s="399" t="s">
        <v>173</v>
      </c>
      <c r="E9" s="134" t="s">
        <v>174</v>
      </c>
      <c r="F9" s="134" t="s">
        <v>175</v>
      </c>
      <c r="G9" s="134" t="s">
        <v>176</v>
      </c>
      <c r="H9" s="400" t="s">
        <v>177</v>
      </c>
      <c r="I9" s="403"/>
      <c r="J9" s="428"/>
    </row>
    <row r="10" spans="2:24" ht="19.899999999999999" customHeight="1" x14ac:dyDescent="0.2">
      <c r="B10" s="64"/>
      <c r="C10" s="391"/>
      <c r="D10" s="394">
        <v>2015</v>
      </c>
      <c r="E10" s="392">
        <v>2018</v>
      </c>
      <c r="F10" s="392">
        <v>2019</v>
      </c>
      <c r="G10" s="392">
        <v>2020</v>
      </c>
      <c r="H10" s="4"/>
      <c r="I10" s="12"/>
      <c r="J10" s="424"/>
    </row>
    <row r="11" spans="2:24" ht="19.899999999999999" customHeight="1" x14ac:dyDescent="0.2">
      <c r="B11" s="64"/>
      <c r="C11" s="117" t="s">
        <v>178</v>
      </c>
      <c r="D11" s="176"/>
      <c r="E11" s="176"/>
      <c r="F11" s="176"/>
      <c r="G11" s="176"/>
      <c r="H11" s="605" t="str">
        <f>IF(OR(D11="",D11=0),"Enter baseline year consumption in column D",IF(OR(G11="",G11=0),"Enter current year consumption in column G",(D11-G11)/D11))</f>
        <v>Enter baseline year consumption in column D</v>
      </c>
      <c r="I11" s="12"/>
      <c r="J11" s="424"/>
    </row>
    <row r="12" spans="2:24" ht="19.899999999999999" customHeight="1" x14ac:dyDescent="0.2">
      <c r="B12" s="64"/>
      <c r="C12" s="117" t="s">
        <v>179</v>
      </c>
      <c r="D12" s="176">
        <v>51589</v>
      </c>
      <c r="E12" s="176">
        <v>44098</v>
      </c>
      <c r="F12" s="176">
        <v>44776</v>
      </c>
      <c r="G12" s="176">
        <v>39481</v>
      </c>
      <c r="H12" s="605">
        <f t="shared" ref="H12:H16" si="0">IF(OR(D12="",D12=0),"Enter baseline year consumption in column D",IF(OR(G12="",G12=0),"Enter current year consumption in column G",(D12-G12)/D12))</f>
        <v>0.23470119599139352</v>
      </c>
      <c r="I12" s="12"/>
      <c r="J12" s="424"/>
    </row>
    <row r="13" spans="2:24" ht="19.899999999999999" customHeight="1" x14ac:dyDescent="0.2">
      <c r="B13" s="64"/>
      <c r="C13" s="117" t="s">
        <v>180</v>
      </c>
      <c r="D13" s="176">
        <v>53</v>
      </c>
      <c r="E13" s="176">
        <v>96</v>
      </c>
      <c r="F13" s="176">
        <v>88</v>
      </c>
      <c r="G13" s="176">
        <v>80</v>
      </c>
      <c r="H13" s="605">
        <f t="shared" si="0"/>
        <v>-0.50943396226415094</v>
      </c>
      <c r="I13" s="12"/>
      <c r="J13" s="424"/>
    </row>
    <row r="14" spans="2:24" ht="19.899999999999999" customHeight="1" x14ac:dyDescent="0.2">
      <c r="B14" s="64"/>
      <c r="C14" s="117" t="s">
        <v>181</v>
      </c>
      <c r="D14" s="549">
        <v>390</v>
      </c>
      <c r="E14" s="176">
        <v>389</v>
      </c>
      <c r="F14" s="176">
        <v>389</v>
      </c>
      <c r="G14" s="549">
        <v>341</v>
      </c>
      <c r="H14" s="605">
        <f t="shared" si="0"/>
        <v>0.12564102564102564</v>
      </c>
      <c r="I14" s="12"/>
      <c r="J14" s="424"/>
    </row>
    <row r="15" spans="2:24" ht="19.899999999999999" customHeight="1" x14ac:dyDescent="0.2">
      <c r="B15" s="64"/>
      <c r="C15" s="117" t="s">
        <v>182</v>
      </c>
      <c r="D15" s="176">
        <v>7318</v>
      </c>
      <c r="E15" s="176">
        <v>7662</v>
      </c>
      <c r="F15" s="176">
        <v>6888</v>
      </c>
      <c r="G15" s="176">
        <v>6979</v>
      </c>
      <c r="H15" s="605">
        <f t="shared" si="0"/>
        <v>4.6324132276578299E-2</v>
      </c>
      <c r="I15" s="12"/>
      <c r="J15" s="424"/>
    </row>
    <row r="16" spans="2:24" ht="19.899999999999999" customHeight="1" x14ac:dyDescent="0.2">
      <c r="B16" s="64"/>
      <c r="C16" s="117" t="s">
        <v>183</v>
      </c>
      <c r="D16" s="176">
        <v>7530</v>
      </c>
      <c r="E16" s="176">
        <v>7626</v>
      </c>
      <c r="F16" s="176">
        <v>7529</v>
      </c>
      <c r="G16" s="176">
        <v>6979</v>
      </c>
      <c r="H16" s="605">
        <f t="shared" si="0"/>
        <v>7.3173970783532535E-2</v>
      </c>
      <c r="I16" s="12"/>
      <c r="J16" s="424"/>
    </row>
    <row r="17" spans="2:16" ht="19.899999999999999" customHeight="1" x14ac:dyDescent="0.2">
      <c r="B17" s="64"/>
      <c r="C17" s="419" t="s">
        <v>184</v>
      </c>
      <c r="D17" s="487"/>
      <c r="E17" s="504">
        <f>'Building Stock Change Calculato'!$O$29</f>
        <v>-1795.2646575342467</v>
      </c>
      <c r="F17" s="504">
        <f>'Building Stock Change Calculato'!$O$23</f>
        <v>-1883.1101369863013</v>
      </c>
      <c r="G17" s="504">
        <f>'Building Stock Change Calculato'!$O$17</f>
        <v>-1763.0958904109589</v>
      </c>
      <c r="H17" s="605"/>
      <c r="I17" s="12"/>
      <c r="J17" s="424"/>
    </row>
    <row r="18" spans="2:16" ht="19.899999999999999" customHeight="1" x14ac:dyDescent="0.2">
      <c r="B18" s="64"/>
      <c r="C18" s="419" t="s">
        <v>185</v>
      </c>
      <c r="D18" s="487"/>
      <c r="E18" s="487"/>
      <c r="F18" s="487"/>
      <c r="G18" s="487"/>
      <c r="H18" s="605"/>
      <c r="I18" s="12"/>
      <c r="J18" s="424"/>
    </row>
    <row r="19" spans="2:16" ht="50.45" customHeight="1" x14ac:dyDescent="0.2">
      <c r="B19" s="64"/>
      <c r="C19" s="420" t="s">
        <v>186</v>
      </c>
      <c r="D19" s="431">
        <f>SUM(D11:D18)</f>
        <v>66880</v>
      </c>
      <c r="E19" s="431">
        <f>SUM(E11:E18)</f>
        <v>58075.735342465756</v>
      </c>
      <c r="F19" s="431">
        <f t="shared" ref="F19:G19" si="1">SUM(F11:F18)</f>
        <v>57786.889863013697</v>
      </c>
      <c r="G19" s="431">
        <f t="shared" si="1"/>
        <v>52096.904109589042</v>
      </c>
      <c r="H19" s="605">
        <f t="shared" ref="H19:H20" si="2">IF(OR(D19="",D19=0),"Enter baseline year consumption in column D",IF(OR(G19="",G19=0),"Enter current year consumption in column G",(D19-G19)/D19))</f>
        <v>0.22103911319394373</v>
      </c>
      <c r="I19" s="535"/>
      <c r="J19" s="429"/>
    </row>
    <row r="20" spans="2:16" ht="45" customHeight="1" x14ac:dyDescent="0.2">
      <c r="B20" s="64"/>
      <c r="C20" s="444" t="s">
        <v>187</v>
      </c>
      <c r="D20" s="549">
        <v>63062</v>
      </c>
      <c r="E20" s="176">
        <v>60682</v>
      </c>
      <c r="F20" s="176">
        <v>61510</v>
      </c>
      <c r="G20" s="176">
        <v>55731</v>
      </c>
      <c r="H20" s="605">
        <f t="shared" si="2"/>
        <v>0.11625067393993213</v>
      </c>
      <c r="I20" s="535"/>
      <c r="J20" s="429"/>
    </row>
    <row r="21" spans="2:16" ht="33" customHeight="1" x14ac:dyDescent="0.2">
      <c r="B21" s="64"/>
      <c r="C21" s="421" t="s">
        <v>188</v>
      </c>
      <c r="D21" s="488"/>
      <c r="E21" s="504">
        <f>'Building Stock Change Calculato'!$R$29</f>
        <v>-1797.5535890410958</v>
      </c>
      <c r="F21" s="504">
        <f>'Building Stock Change Calculato'!$R$23</f>
        <v>-1895.7920547945205</v>
      </c>
      <c r="G21" s="504">
        <f>'Building Stock Change Calculato'!$R$17</f>
        <v>-1920.2898082191778</v>
      </c>
      <c r="H21" s="605"/>
      <c r="I21" s="535"/>
      <c r="J21" s="429"/>
    </row>
    <row r="22" spans="2:16" ht="43.9" customHeight="1" thickBot="1" x14ac:dyDescent="0.25">
      <c r="B22" s="64"/>
      <c r="C22" s="422" t="s">
        <v>189</v>
      </c>
      <c r="D22" s="489"/>
      <c r="E22" s="487"/>
      <c r="F22" s="487"/>
      <c r="G22" s="487"/>
      <c r="H22" s="605"/>
      <c r="I22" s="12"/>
      <c r="J22" s="424"/>
      <c r="L22" s="111"/>
      <c r="M22" s="111"/>
      <c r="N22" s="111"/>
      <c r="O22" s="111"/>
      <c r="P22" s="317"/>
    </row>
    <row r="23" spans="2:16" ht="45" customHeight="1" thickBot="1" x14ac:dyDescent="0.25">
      <c r="B23" s="64"/>
      <c r="C23" s="445" t="s">
        <v>190</v>
      </c>
      <c r="D23" s="431">
        <f>SUM(D20:D22)</f>
        <v>63062</v>
      </c>
      <c r="E23" s="431">
        <f t="shared" ref="E23:G23" si="3">SUM(E20:E22)</f>
        <v>58884.446410958903</v>
      </c>
      <c r="F23" s="431">
        <f t="shared" si="3"/>
        <v>59614.207945205482</v>
      </c>
      <c r="G23" s="431">
        <f t="shared" si="3"/>
        <v>53810.710191780825</v>
      </c>
      <c r="H23" s="605">
        <f t="shared" ref="H23" si="4">IF(OR(D23="",D23=0),"Enter baseline year consumption in column D",IF(OR(G23="",G23=0),"Enter current year consumption in column G",(D23-G23)/D23))</f>
        <v>0.14670149706985466</v>
      </c>
      <c r="I23" s="430"/>
      <c r="J23" s="317"/>
    </row>
    <row r="24" spans="2:16" ht="13.5" hidden="1" thickBot="1" x14ac:dyDescent="0.25">
      <c r="B24" s="118"/>
      <c r="C24" s="12"/>
      <c r="D24" s="111"/>
      <c r="E24" s="111"/>
      <c r="F24" s="111"/>
      <c r="G24" s="111"/>
      <c r="H24" s="111"/>
    </row>
    <row r="25" spans="2:16" ht="12.75" hidden="1" x14ac:dyDescent="0.2">
      <c r="B25" s="118"/>
      <c r="C25" s="118"/>
    </row>
    <row r="26" spans="2:16" ht="12.75" hidden="1" x14ac:dyDescent="0.2">
      <c r="B26" s="118"/>
      <c r="C26" s="118"/>
    </row>
    <row r="27" spans="2:16" ht="12.75" hidden="1" x14ac:dyDescent="0.2">
      <c r="B27" s="118"/>
      <c r="C27" s="118"/>
      <c r="K27" s="118"/>
    </row>
    <row r="28" spans="2:16" ht="12.75" hidden="1" x14ac:dyDescent="0.2">
      <c r="B28" s="118"/>
      <c r="C28" s="118"/>
      <c r="I28" s="118"/>
      <c r="J28" s="118"/>
      <c r="L28" s="118"/>
    </row>
    <row r="29" spans="2:16" ht="13.15" customHeight="1" x14ac:dyDescent="0.2">
      <c r="B29" s="118"/>
      <c r="C29" s="118"/>
      <c r="I29" s="118"/>
      <c r="J29" s="118"/>
    </row>
    <row r="30" spans="2:16" ht="13.15" hidden="1" customHeight="1" x14ac:dyDescent="0.2">
      <c r="C30" s="118"/>
      <c r="D30" s="118"/>
      <c r="E30" s="118"/>
      <c r="F30" s="118"/>
      <c r="G30" s="118"/>
      <c r="H30" s="118"/>
    </row>
    <row r="31" spans="2:16" ht="13.15" hidden="1" customHeight="1" x14ac:dyDescent="0.2"/>
  </sheetData>
  <sheetProtection algorithmName="SHA-512" hashValue="vYFmpjDKExJAmze78dszdV6BVwcm7VREOyTfxZ9M14yY5VourdN+CoRkcKkitJyWuwPkES/XUJ9GXbmSzDqO+w==" saltValue="+o9ZmlsfaJj4ZVNt7WlkuQ==" spinCount="100000" sheet="1" selectLockedCells="1"/>
  <dataConsolidate/>
  <mergeCells count="5">
    <mergeCell ref="C8:H8"/>
    <mergeCell ref="C5:I5"/>
    <mergeCell ref="C4:I4"/>
    <mergeCell ref="C6:G6"/>
    <mergeCell ref="H6:I6"/>
  </mergeCells>
  <phoneticPr fontId="0" type="noConversion"/>
  <conditionalFormatting sqref="H6:I6">
    <cfRule type="expression" dxfId="39" priority="19">
      <formula>$H$6="Select CY or FY"</formula>
    </cfRule>
  </conditionalFormatting>
  <conditionalFormatting sqref="D19">
    <cfRule type="expression" dxfId="38" priority="11">
      <formula>D19=0</formula>
    </cfRule>
    <cfRule type="expression" dxfId="37" priority="18">
      <formula>ISBLANK(D19)</formula>
    </cfRule>
  </conditionalFormatting>
  <conditionalFormatting sqref="D20">
    <cfRule type="expression" dxfId="36" priority="16">
      <formula>ISBLANK(D20)</formula>
    </cfRule>
  </conditionalFormatting>
  <conditionalFormatting sqref="G20">
    <cfRule type="expression" dxfId="35" priority="15">
      <formula>ISBLANK(G20)</formula>
    </cfRule>
  </conditionalFormatting>
  <conditionalFormatting sqref="D10">
    <cfRule type="expression" dxfId="34" priority="8">
      <formula>$D$10=""</formula>
    </cfRule>
  </conditionalFormatting>
  <conditionalFormatting sqref="D23:G23">
    <cfRule type="expression" dxfId="33" priority="3">
      <formula>D23=0</formula>
    </cfRule>
    <cfRule type="expression" dxfId="32" priority="4">
      <formula>ISBLANK(D23)</formula>
    </cfRule>
  </conditionalFormatting>
  <dataValidations count="1">
    <dataValidation type="list" allowBlank="1" showInputMessage="1" showErrorMessage="1" sqref="H6:I6" xr:uid="{00000000-0002-0000-0800-000000000000}">
      <formula1>"Select CY or FY, CY, FY"</formula1>
    </dataValidation>
  </dataValidation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61">
    <tabColor theme="8" tint="-0.249977111117893"/>
    <pageSetUpPr fitToPage="1"/>
  </sheetPr>
  <dimension ref="A1:AF35"/>
  <sheetViews>
    <sheetView showGridLines="0" zoomScale="80" zoomScaleNormal="80" workbookViewId="0">
      <selection activeCell="D5" sqref="D5"/>
    </sheetView>
  </sheetViews>
  <sheetFormatPr defaultColWidth="0" defaultRowHeight="12.75" zeroHeight="1" x14ac:dyDescent="0.2"/>
  <cols>
    <col min="1" max="1" width="3.28515625" style="60" customWidth="1"/>
    <col min="2" max="2" width="9.140625" style="60" customWidth="1"/>
    <col min="3" max="3" width="30.85546875" style="97" customWidth="1"/>
    <col min="4" max="4" width="14.85546875" style="60" customWidth="1"/>
    <col min="5" max="8" width="9.140625" style="60" customWidth="1"/>
    <col min="9" max="9" width="10.140625" style="60" customWidth="1"/>
    <col min="10" max="10" width="9.28515625" style="60" bestFit="1" customWidth="1"/>
    <col min="11" max="11" width="7.7109375" style="60" bestFit="1" customWidth="1"/>
    <col min="12" max="17" width="9.140625" style="60" customWidth="1"/>
    <col min="18" max="19" width="10" style="60" customWidth="1"/>
    <col min="20" max="20" width="12.28515625" style="60" customWidth="1"/>
    <col min="21" max="21" width="9.140625" style="60" customWidth="1"/>
    <col min="22" max="22" width="9.140625" style="60" bestFit="1" customWidth="1"/>
    <col min="23" max="32" width="9.140625" style="60" customWidth="1"/>
    <col min="33" max="16384" width="9.140625" style="60" hidden="1"/>
  </cols>
  <sheetData>
    <row r="1" spans="2:24" ht="13.5" thickBot="1" x14ac:dyDescent="0.25"/>
    <row r="2" spans="2:24" x14ac:dyDescent="0.2">
      <c r="B2" s="61"/>
      <c r="C2" s="98"/>
      <c r="D2" s="62"/>
      <c r="E2" s="62"/>
      <c r="F2" s="62"/>
      <c r="G2" s="62"/>
      <c r="H2" s="62"/>
      <c r="I2" s="62"/>
      <c r="J2" s="62"/>
      <c r="K2" s="62"/>
      <c r="L2" s="62"/>
      <c r="M2" s="62"/>
      <c r="N2" s="62"/>
      <c r="O2" s="62"/>
      <c r="P2" s="62"/>
      <c r="Q2" s="62"/>
      <c r="R2" s="62"/>
      <c r="S2" s="62"/>
      <c r="T2" s="62"/>
      <c r="U2" s="63"/>
    </row>
    <row r="3" spans="2:24" ht="37.5" customHeight="1" x14ac:dyDescent="0.2">
      <c r="B3" s="64"/>
      <c r="C3" s="994" t="s">
        <v>191</v>
      </c>
      <c r="D3" s="994"/>
      <c r="E3" s="994"/>
      <c r="F3" s="994"/>
      <c r="G3" s="994"/>
      <c r="H3" s="994"/>
      <c r="I3" s="994"/>
      <c r="J3" s="994"/>
      <c r="K3" s="994"/>
      <c r="L3" s="994"/>
      <c r="M3" s="994"/>
      <c r="N3" s="994"/>
      <c r="O3" s="994"/>
      <c r="P3" s="994"/>
      <c r="Q3" s="994"/>
      <c r="R3" s="994"/>
      <c r="S3" s="994"/>
      <c r="T3" s="994"/>
      <c r="U3" s="65"/>
    </row>
    <row r="4" spans="2:24" ht="15" x14ac:dyDescent="0.2">
      <c r="B4" s="66"/>
      <c r="C4" s="112"/>
      <c r="D4" s="112"/>
      <c r="E4" s="112"/>
      <c r="F4" s="112"/>
      <c r="G4" s="112"/>
      <c r="H4" s="88"/>
      <c r="I4" s="127"/>
      <c r="J4" s="179"/>
      <c r="K4" s="180"/>
      <c r="L4" s="127"/>
      <c r="M4" s="127"/>
      <c r="N4" s="127"/>
      <c r="O4" s="127"/>
      <c r="P4" s="127"/>
      <c r="Q4" s="127"/>
      <c r="R4" s="127"/>
      <c r="S4" s="127"/>
      <c r="T4" s="127"/>
      <c r="U4" s="67"/>
    </row>
    <row r="5" spans="2:24" ht="48.75" customHeight="1" x14ac:dyDescent="0.2">
      <c r="B5" s="66"/>
      <c r="C5" s="177" t="s">
        <v>192</v>
      </c>
      <c r="D5" s="178" t="s">
        <v>193</v>
      </c>
      <c r="E5" s="12"/>
      <c r="F5" s="12"/>
      <c r="G5" s="12"/>
      <c r="H5" s="12"/>
      <c r="I5" s="12"/>
      <c r="J5" s="12"/>
      <c r="K5" s="12"/>
      <c r="L5" s="12"/>
      <c r="M5" s="12"/>
      <c r="N5" s="12"/>
      <c r="O5" s="12"/>
      <c r="P5" s="12"/>
      <c r="Q5" s="12"/>
      <c r="R5" s="12"/>
      <c r="S5" s="12"/>
      <c r="T5" s="12"/>
      <c r="U5" s="65"/>
    </row>
    <row r="6" spans="2:24" s="70" customFormat="1" ht="21" thickBot="1" x14ac:dyDescent="0.25">
      <c r="B6" s="76"/>
      <c r="C6" s="999" t="s">
        <v>194</v>
      </c>
      <c r="D6" s="999"/>
      <c r="E6" s="999"/>
      <c r="F6" s="999"/>
      <c r="G6" s="999"/>
      <c r="H6" s="999"/>
      <c r="I6" s="999"/>
      <c r="J6" s="999"/>
      <c r="K6" s="999"/>
      <c r="L6" s="999"/>
      <c r="M6" s="999"/>
      <c r="N6" s="999"/>
      <c r="O6" s="999"/>
      <c r="P6" s="999"/>
      <c r="Q6" s="999"/>
      <c r="R6" s="999"/>
      <c r="S6" s="999"/>
      <c r="T6" s="999"/>
      <c r="U6" s="77"/>
    </row>
    <row r="7" spans="2:24" s="70" customFormat="1" ht="29.25" customHeight="1" x14ac:dyDescent="0.2">
      <c r="B7" s="76"/>
      <c r="C7" s="996" t="str">
        <f>"Table 3: Annual Municipal Energy Use in Native Units and MMBtu - Plan Year "&amp;D5</f>
        <v>Table 3: Annual Municipal Energy Use in Native Units and MMBtu - Plan Year &lt;Select Year&gt;</v>
      </c>
      <c r="D7" s="997"/>
      <c r="E7" s="997"/>
      <c r="F7" s="997"/>
      <c r="G7" s="997"/>
      <c r="H7" s="997"/>
      <c r="I7" s="997"/>
      <c r="J7" s="997"/>
      <c r="K7" s="997"/>
      <c r="L7" s="997"/>
      <c r="M7" s="997"/>
      <c r="N7" s="997"/>
      <c r="O7" s="997"/>
      <c r="P7" s="997"/>
      <c r="Q7" s="997"/>
      <c r="R7" s="997"/>
      <c r="S7" s="997"/>
      <c r="T7" s="998"/>
      <c r="U7" s="77"/>
    </row>
    <row r="8" spans="2:24" s="70" customFormat="1" ht="26.25" customHeight="1" x14ac:dyDescent="0.2">
      <c r="B8" s="76"/>
      <c r="C8" s="101"/>
      <c r="D8" s="1003" t="s">
        <v>195</v>
      </c>
      <c r="E8" s="1003"/>
      <c r="F8" s="1003"/>
      <c r="G8" s="1003"/>
      <c r="H8" s="1003"/>
      <c r="I8" s="1003"/>
      <c r="J8" s="1003"/>
      <c r="K8" s="1003"/>
      <c r="L8" s="1003"/>
      <c r="M8" s="1003"/>
      <c r="N8" s="1003"/>
      <c r="O8" s="1003"/>
      <c r="P8" s="1003"/>
      <c r="Q8" s="1003"/>
      <c r="R8" s="1003"/>
      <c r="S8" s="1003"/>
      <c r="T8" s="102"/>
      <c r="U8" s="77"/>
      <c r="X8" s="70" t="s">
        <v>196</v>
      </c>
    </row>
    <row r="9" spans="2:24" s="106" customFormat="1" ht="35.25" customHeight="1" x14ac:dyDescent="0.25">
      <c r="B9" s="103"/>
      <c r="C9" s="104"/>
      <c r="D9" s="995" t="s">
        <v>197</v>
      </c>
      <c r="E9" s="995"/>
      <c r="F9" s="995" t="s">
        <v>198</v>
      </c>
      <c r="G9" s="995"/>
      <c r="H9" s="995" t="s">
        <v>199</v>
      </c>
      <c r="I9" s="995"/>
      <c r="J9" s="995" t="s">
        <v>200</v>
      </c>
      <c r="K9" s="995"/>
      <c r="L9" s="995" t="s">
        <v>201</v>
      </c>
      <c r="M9" s="995"/>
      <c r="N9" s="995" t="s">
        <v>202</v>
      </c>
      <c r="O9" s="995"/>
      <c r="P9" s="1000" t="s">
        <v>203</v>
      </c>
      <c r="Q9" s="1000"/>
      <c r="R9" s="1000" t="s">
        <v>204</v>
      </c>
      <c r="S9" s="1000"/>
      <c r="T9" s="1001" t="s">
        <v>205</v>
      </c>
      <c r="U9" s="105"/>
    </row>
    <row r="10" spans="2:24" s="106" customFormat="1" ht="24" customHeight="1" x14ac:dyDescent="0.2">
      <c r="B10" s="103"/>
      <c r="C10" s="107"/>
      <c r="D10" s="181" t="s">
        <v>206</v>
      </c>
      <c r="E10" s="181" t="s">
        <v>207</v>
      </c>
      <c r="F10" s="181" t="s">
        <v>208</v>
      </c>
      <c r="G10" s="181" t="s">
        <v>207</v>
      </c>
      <c r="H10" s="181" t="s">
        <v>209</v>
      </c>
      <c r="I10" s="181" t="s">
        <v>207</v>
      </c>
      <c r="J10" s="181" t="s">
        <v>209</v>
      </c>
      <c r="K10" s="181" t="s">
        <v>207</v>
      </c>
      <c r="L10" s="181" t="s">
        <v>209</v>
      </c>
      <c r="M10" s="181" t="s">
        <v>207</v>
      </c>
      <c r="N10" s="181" t="s">
        <v>209</v>
      </c>
      <c r="O10" s="181" t="s">
        <v>207</v>
      </c>
      <c r="P10" s="181" t="s">
        <v>206</v>
      </c>
      <c r="Q10" s="181" t="s">
        <v>207</v>
      </c>
      <c r="R10" s="181" t="s">
        <v>208</v>
      </c>
      <c r="S10" s="181" t="s">
        <v>207</v>
      </c>
      <c r="T10" s="1002"/>
      <c r="U10" s="105"/>
    </row>
    <row r="11" spans="2:24" ht="24" customHeight="1" x14ac:dyDescent="0.2">
      <c r="B11" s="64"/>
      <c r="C11" s="108" t="s">
        <v>210</v>
      </c>
      <c r="D11" s="183"/>
      <c r="E11" s="182">
        <f>D11*kwh_MMBTU</f>
        <v>0</v>
      </c>
      <c r="F11" s="183"/>
      <c r="G11" s="182">
        <f>F11*therms_MMBTU</f>
        <v>0</v>
      </c>
      <c r="H11" s="183"/>
      <c r="I11" s="182">
        <f>H11*GalFuelOil_MMBTU</f>
        <v>0</v>
      </c>
      <c r="J11" s="183"/>
      <c r="K11" s="182">
        <f>J11*GalPropane_MMBTU</f>
        <v>0</v>
      </c>
      <c r="L11" s="183"/>
      <c r="M11" s="182">
        <f>L11*GalGasoline_MMBTU</f>
        <v>0</v>
      </c>
      <c r="N11" s="183"/>
      <c r="O11" s="182">
        <f>N11*GalDiesel_MMBTU</f>
        <v>0</v>
      </c>
      <c r="P11" s="183"/>
      <c r="Q11" s="182">
        <f>P11*kwh_MMBTU</f>
        <v>0</v>
      </c>
      <c r="R11" s="183"/>
      <c r="S11" s="182">
        <f>R11*therms_MMBTU</f>
        <v>0</v>
      </c>
      <c r="T11" s="187">
        <f>E11+G11+I11+K11+M11+O11+Q11+S11</f>
        <v>0</v>
      </c>
      <c r="U11" s="109"/>
    </row>
    <row r="12" spans="2:24" ht="24" customHeight="1" x14ac:dyDescent="0.2">
      <c r="B12" s="64"/>
      <c r="C12" s="108" t="s">
        <v>211</v>
      </c>
      <c r="D12" s="183"/>
      <c r="E12" s="182">
        <f>D12*kwh_MMBTU</f>
        <v>0</v>
      </c>
      <c r="F12" s="183"/>
      <c r="G12" s="182">
        <f>F12*therms_MMBTU</f>
        <v>0</v>
      </c>
      <c r="H12" s="183"/>
      <c r="I12" s="182">
        <f>H12*GalFuelOil_MMBTU</f>
        <v>0</v>
      </c>
      <c r="J12" s="183"/>
      <c r="K12" s="182">
        <f>J12*GalPropane_MMBTU</f>
        <v>0</v>
      </c>
      <c r="L12" s="183"/>
      <c r="M12" s="182">
        <f>L12*GalGasoline_MMBTU</f>
        <v>0</v>
      </c>
      <c r="N12" s="183"/>
      <c r="O12" s="182">
        <f>N12*GalDiesel_MMBTU</f>
        <v>0</v>
      </c>
      <c r="P12" s="183"/>
      <c r="Q12" s="182">
        <f>P12*kwh_MMBTU</f>
        <v>0</v>
      </c>
      <c r="R12" s="183"/>
      <c r="S12" s="182">
        <f>R12*therms_MMBTU</f>
        <v>0</v>
      </c>
      <c r="T12" s="187">
        <f t="shared" ref="T12:T19" si="0">E12+G12+I12+K12+M12+O12+Q12+S12</f>
        <v>0</v>
      </c>
      <c r="U12" s="109"/>
    </row>
    <row r="13" spans="2:24" ht="24" customHeight="1" x14ac:dyDescent="0.2">
      <c r="B13" s="64"/>
      <c r="C13" s="108" t="s">
        <v>212</v>
      </c>
      <c r="D13" s="183"/>
      <c r="E13" s="182">
        <f>D13*kwh_MMBTU</f>
        <v>0</v>
      </c>
      <c r="F13" s="183"/>
      <c r="G13" s="182">
        <f>F13*therms_MMBTU</f>
        <v>0</v>
      </c>
      <c r="H13" s="183">
        <v>0</v>
      </c>
      <c r="I13" s="182">
        <f>H13*GalFuelOil_MMBTU</f>
        <v>0</v>
      </c>
      <c r="J13" s="183"/>
      <c r="K13" s="182">
        <f>J13*GalPropane_MMBTU</f>
        <v>0</v>
      </c>
      <c r="L13" s="183"/>
      <c r="M13" s="182">
        <f>L13*GalGasoline_MMBTU</f>
        <v>0</v>
      </c>
      <c r="N13" s="183"/>
      <c r="O13" s="182">
        <f>N13*GalDiesel_MMBTU</f>
        <v>0</v>
      </c>
      <c r="P13" s="183"/>
      <c r="Q13" s="182">
        <f>P13*kwh_MMBTU</f>
        <v>0</v>
      </c>
      <c r="R13" s="183"/>
      <c r="S13" s="182">
        <f>R13*therms_MMBTU</f>
        <v>0</v>
      </c>
      <c r="T13" s="187">
        <f t="shared" si="0"/>
        <v>0</v>
      </c>
      <c r="U13" s="109"/>
    </row>
    <row r="14" spans="2:24" ht="30.75" customHeight="1" x14ac:dyDescent="0.2">
      <c r="B14" s="64"/>
      <c r="C14" s="184" t="s">
        <v>213</v>
      </c>
      <c r="D14" s="185">
        <f>SUM(D11:D13)</f>
        <v>0</v>
      </c>
      <c r="E14" s="185">
        <f t="shared" ref="E14:S14" si="1">SUM(E11:E13)</f>
        <v>0</v>
      </c>
      <c r="F14" s="185">
        <f t="shared" si="1"/>
        <v>0</v>
      </c>
      <c r="G14" s="185">
        <f t="shared" si="1"/>
        <v>0</v>
      </c>
      <c r="H14" s="185">
        <f t="shared" si="1"/>
        <v>0</v>
      </c>
      <c r="I14" s="185">
        <f t="shared" si="1"/>
        <v>0</v>
      </c>
      <c r="J14" s="185">
        <f t="shared" si="1"/>
        <v>0</v>
      </c>
      <c r="K14" s="185">
        <f t="shared" si="1"/>
        <v>0</v>
      </c>
      <c r="L14" s="185">
        <f t="shared" si="1"/>
        <v>0</v>
      </c>
      <c r="M14" s="185">
        <f t="shared" si="1"/>
        <v>0</v>
      </c>
      <c r="N14" s="185">
        <f t="shared" si="1"/>
        <v>0</v>
      </c>
      <c r="O14" s="185">
        <f t="shared" si="1"/>
        <v>0</v>
      </c>
      <c r="P14" s="185">
        <f t="shared" si="1"/>
        <v>0</v>
      </c>
      <c r="Q14" s="185">
        <f t="shared" si="1"/>
        <v>0</v>
      </c>
      <c r="R14" s="185">
        <f t="shared" si="1"/>
        <v>0</v>
      </c>
      <c r="S14" s="185">
        <f t="shared" si="1"/>
        <v>0</v>
      </c>
      <c r="T14" s="186">
        <f>E14+G14+I14+K14+M14+O14+Q14+S14</f>
        <v>0</v>
      </c>
      <c r="U14" s="109"/>
    </row>
    <row r="15" spans="2:24" ht="35.25" customHeight="1" x14ac:dyDescent="0.2">
      <c r="B15" s="64"/>
      <c r="C15" s="107" t="s">
        <v>214</v>
      </c>
      <c r="D15" s="183"/>
      <c r="E15" s="182">
        <f>D15*kwh_MMBTU</f>
        <v>0</v>
      </c>
      <c r="F15" s="183"/>
      <c r="G15" s="182">
        <f>F15*therms_MMBTU</f>
        <v>0</v>
      </c>
      <c r="H15" s="183"/>
      <c r="I15" s="182">
        <f>H15*GalFuelOil_MMBTU</f>
        <v>0</v>
      </c>
      <c r="J15" s="183"/>
      <c r="K15" s="182">
        <f>J15*GalPropane_MMBTU</f>
        <v>0</v>
      </c>
      <c r="L15" s="183"/>
      <c r="M15" s="182">
        <f>L15*GalGasoline_MMBTU</f>
        <v>0</v>
      </c>
      <c r="N15" s="183"/>
      <c r="O15" s="182">
        <f>N15*GalDiesel_MMBTU</f>
        <v>0</v>
      </c>
      <c r="P15" s="183"/>
      <c r="Q15" s="182">
        <f>P15*kwh_MMBTU</f>
        <v>0</v>
      </c>
      <c r="R15" s="183"/>
      <c r="S15" s="182">
        <f>R15*therms_MMBTU</f>
        <v>0</v>
      </c>
      <c r="T15" s="187">
        <f t="shared" si="0"/>
        <v>0</v>
      </c>
      <c r="U15" s="109"/>
    </row>
    <row r="16" spans="2:24" ht="24" customHeight="1" x14ac:dyDescent="0.2">
      <c r="B16" s="64"/>
      <c r="C16" s="107" t="s">
        <v>215</v>
      </c>
      <c r="D16" s="183"/>
      <c r="E16" s="182">
        <f>D16*kwh_MMBTU</f>
        <v>0</v>
      </c>
      <c r="F16" s="183"/>
      <c r="G16" s="182">
        <f>F16*therms_MMBTU</f>
        <v>0</v>
      </c>
      <c r="H16" s="183"/>
      <c r="I16" s="182">
        <f>H16*GalFuelOil_MMBTU</f>
        <v>0</v>
      </c>
      <c r="J16" s="183"/>
      <c r="K16" s="182">
        <f>J16*GalPropane_MMBTU</f>
        <v>0</v>
      </c>
      <c r="L16" s="183"/>
      <c r="M16" s="182">
        <f>L16*GalGasoline_MMBTU</f>
        <v>0</v>
      </c>
      <c r="N16" s="183"/>
      <c r="O16" s="182">
        <f>N16*GalDiesel_MMBTU</f>
        <v>0</v>
      </c>
      <c r="P16" s="183"/>
      <c r="Q16" s="182">
        <f>P16*kwh_MMBTU</f>
        <v>0</v>
      </c>
      <c r="R16" s="183"/>
      <c r="S16" s="182">
        <f>R16*therms_MMBTU</f>
        <v>0</v>
      </c>
      <c r="T16" s="187">
        <f>E16+G16+I16+K16+M16+O16+Q16+S16</f>
        <v>0</v>
      </c>
      <c r="U16" s="109"/>
    </row>
    <row r="17" spans="2:22" ht="24" customHeight="1" x14ac:dyDescent="0.2">
      <c r="B17" s="64"/>
      <c r="C17" s="107" t="s">
        <v>216</v>
      </c>
      <c r="D17" s="183"/>
      <c r="E17" s="182">
        <f>D17*kwh_MMBTU</f>
        <v>0</v>
      </c>
      <c r="F17" s="183"/>
      <c r="G17" s="182">
        <f>F17*therms_MMBTU</f>
        <v>0</v>
      </c>
      <c r="H17" s="183"/>
      <c r="I17" s="182">
        <f>H17*GalFuelOil_MMBTU</f>
        <v>0</v>
      </c>
      <c r="J17" s="183"/>
      <c r="K17" s="182">
        <f>J17*GalPropane_MMBTU</f>
        <v>0</v>
      </c>
      <c r="L17" s="183"/>
      <c r="M17" s="182">
        <f>L17*GalGasoline_MMBTU</f>
        <v>0</v>
      </c>
      <c r="N17" s="183"/>
      <c r="O17" s="182">
        <f>N17*GalDiesel_MMBTU</f>
        <v>0</v>
      </c>
      <c r="P17" s="183"/>
      <c r="Q17" s="182">
        <f>P17*kwh_MMBTU</f>
        <v>0</v>
      </c>
      <c r="R17" s="183"/>
      <c r="S17" s="182">
        <f>R17*therms_MMBTU</f>
        <v>0</v>
      </c>
      <c r="T17" s="187">
        <f t="shared" si="0"/>
        <v>0</v>
      </c>
      <c r="U17" s="109"/>
    </row>
    <row r="18" spans="2:22" ht="24" customHeight="1" x14ac:dyDescent="0.2">
      <c r="B18" s="64"/>
      <c r="C18" s="107" t="s">
        <v>217</v>
      </c>
      <c r="D18" s="183"/>
      <c r="E18" s="182">
        <f>D18*kwh_MMBTU</f>
        <v>0</v>
      </c>
      <c r="F18" s="183"/>
      <c r="G18" s="182">
        <f>F18*therms_MMBTU</f>
        <v>0</v>
      </c>
      <c r="H18" s="183"/>
      <c r="I18" s="182">
        <f>H18*GalFuelOil_MMBTU</f>
        <v>0</v>
      </c>
      <c r="J18" s="183">
        <v>0</v>
      </c>
      <c r="K18" s="182">
        <f>J18*GalPropane_MMBTU</f>
        <v>0</v>
      </c>
      <c r="L18" s="183"/>
      <c r="M18" s="182">
        <f>L18*GalGasoline_MMBTU</f>
        <v>0</v>
      </c>
      <c r="N18" s="183"/>
      <c r="O18" s="182">
        <f>N18*GalDiesel_MMBTU</f>
        <v>0</v>
      </c>
      <c r="P18" s="183"/>
      <c r="Q18" s="182">
        <f>P18*kwh_MMBTU</f>
        <v>0</v>
      </c>
      <c r="R18" s="183"/>
      <c r="S18" s="182">
        <f>R18*therms_MMBTU</f>
        <v>0</v>
      </c>
      <c r="T18" s="187">
        <f t="shared" si="0"/>
        <v>0</v>
      </c>
      <c r="U18" s="109"/>
    </row>
    <row r="19" spans="2:22" ht="35.25" customHeight="1" x14ac:dyDescent="0.2">
      <c r="B19" s="64"/>
      <c r="C19" s="107" t="s">
        <v>218</v>
      </c>
      <c r="D19" s="183"/>
      <c r="E19" s="182">
        <f>D19*kwh_MMBTU</f>
        <v>0</v>
      </c>
      <c r="F19" s="183"/>
      <c r="G19" s="182">
        <f>F19*therms_MMBTU</f>
        <v>0</v>
      </c>
      <c r="H19" s="183"/>
      <c r="I19" s="182">
        <f>H19*GalFuelOil_MMBTU</f>
        <v>0</v>
      </c>
      <c r="J19" s="183"/>
      <c r="K19" s="182">
        <f>J19*GalPropane_MMBTU</f>
        <v>0</v>
      </c>
      <c r="L19" s="183"/>
      <c r="M19" s="182">
        <f>L19*GalGasoline_MMBTU</f>
        <v>0</v>
      </c>
      <c r="N19" s="183"/>
      <c r="O19" s="182">
        <f>N19*GalDiesel_MMBTU</f>
        <v>0</v>
      </c>
      <c r="P19" s="183"/>
      <c r="Q19" s="182">
        <f>P19*kwh_MMBTU</f>
        <v>0</v>
      </c>
      <c r="R19" s="183"/>
      <c r="S19" s="182">
        <f>R19*therms_MMBTU</f>
        <v>0</v>
      </c>
      <c r="T19" s="187">
        <f t="shared" si="0"/>
        <v>0</v>
      </c>
      <c r="U19" s="109"/>
    </row>
    <row r="20" spans="2:22" ht="30.75" customHeight="1" thickBot="1" x14ac:dyDescent="0.25">
      <c r="B20" s="64"/>
      <c r="C20" s="175" t="s">
        <v>219</v>
      </c>
      <c r="D20" s="188">
        <f>SUM(D14:D19)</f>
        <v>0</v>
      </c>
      <c r="E20" s="188">
        <f>D20*0.003412</f>
        <v>0</v>
      </c>
      <c r="F20" s="188">
        <f>SUM(F14:F19)</f>
        <v>0</v>
      </c>
      <c r="G20" s="188">
        <f>F20*0.1</f>
        <v>0</v>
      </c>
      <c r="H20" s="188">
        <f>SUM(H14:H19)</f>
        <v>0</v>
      </c>
      <c r="I20" s="188">
        <f>H20*0.139</f>
        <v>0</v>
      </c>
      <c r="J20" s="188">
        <f>SUM(J14:J19)</f>
        <v>0</v>
      </c>
      <c r="K20" s="188">
        <f>J20*0.091</f>
        <v>0</v>
      </c>
      <c r="L20" s="188">
        <f>SUM(L14:L19)</f>
        <v>0</v>
      </c>
      <c r="M20" s="188">
        <f>L20*0.124</f>
        <v>0</v>
      </c>
      <c r="N20" s="188">
        <f>SUM(N14:N19)</f>
        <v>0</v>
      </c>
      <c r="O20" s="188">
        <f>N20*0.139</f>
        <v>0</v>
      </c>
      <c r="P20" s="188">
        <f>SUM(P14:P19)</f>
        <v>0</v>
      </c>
      <c r="Q20" s="188">
        <f>P20*0.003412</f>
        <v>0</v>
      </c>
      <c r="R20" s="188">
        <f>SUM(R14:R19)</f>
        <v>0</v>
      </c>
      <c r="S20" s="188">
        <f>R20*0.1</f>
        <v>0</v>
      </c>
      <c r="T20" s="189">
        <f>E20+G20+I20+K20+M20+O20+Q20+S20</f>
        <v>0</v>
      </c>
      <c r="U20" s="109"/>
    </row>
    <row r="21" spans="2:22" ht="13.5" thickBot="1" x14ac:dyDescent="0.25">
      <c r="B21" s="68"/>
      <c r="C21" s="110"/>
      <c r="D21" s="111"/>
      <c r="E21" s="111"/>
      <c r="F21" s="111"/>
      <c r="G21" s="111"/>
      <c r="H21" s="111"/>
      <c r="I21" s="111"/>
      <c r="J21" s="111"/>
      <c r="K21" s="111"/>
      <c r="L21" s="111"/>
      <c r="M21" s="111"/>
      <c r="N21" s="111"/>
      <c r="O21" s="111"/>
      <c r="P21" s="111"/>
      <c r="Q21" s="111"/>
      <c r="R21" s="111"/>
      <c r="S21" s="111"/>
      <c r="T21" s="111"/>
      <c r="U21" s="69"/>
    </row>
    <row r="22" spans="2:22" x14ac:dyDescent="0.2"/>
    <row r="25" spans="2:22" hidden="1" x14ac:dyDescent="0.2">
      <c r="D25" s="97"/>
      <c r="E25" s="97"/>
      <c r="F25" s="97"/>
      <c r="G25" s="97"/>
      <c r="H25" s="97"/>
      <c r="I25" s="97"/>
      <c r="J25" s="97"/>
      <c r="K25" s="97"/>
      <c r="L25" s="97"/>
      <c r="M25" s="97"/>
      <c r="N25" s="97"/>
      <c r="O25" s="97"/>
      <c r="P25" s="97"/>
      <c r="Q25" s="97"/>
      <c r="R25" s="97"/>
      <c r="S25" s="97"/>
      <c r="T25" s="97"/>
      <c r="U25" s="97"/>
      <c r="V25" s="97"/>
    </row>
    <row r="26" spans="2:22" hidden="1" x14ac:dyDescent="0.2">
      <c r="D26" s="97"/>
      <c r="E26" s="97"/>
      <c r="F26" s="97"/>
      <c r="G26" s="97"/>
      <c r="H26" s="97"/>
      <c r="I26" s="97"/>
      <c r="J26" s="97"/>
      <c r="K26" s="97"/>
      <c r="L26" s="97"/>
      <c r="M26" s="97"/>
      <c r="N26" s="97"/>
      <c r="O26" s="97"/>
      <c r="P26" s="97"/>
      <c r="Q26" s="97"/>
      <c r="R26" s="97"/>
      <c r="S26" s="97"/>
      <c r="T26" s="97"/>
      <c r="U26" s="97"/>
      <c r="V26" s="97"/>
    </row>
    <row r="27" spans="2:22" hidden="1" x14ac:dyDescent="0.2">
      <c r="D27" s="97"/>
      <c r="E27" s="97"/>
      <c r="F27" s="97"/>
      <c r="G27" s="97"/>
      <c r="H27" s="97"/>
      <c r="I27" s="97"/>
      <c r="J27" s="97"/>
      <c r="K27" s="97"/>
      <c r="L27" s="97"/>
      <c r="M27" s="97"/>
      <c r="N27" s="97"/>
      <c r="O27" s="97"/>
      <c r="P27" s="97"/>
      <c r="Q27" s="97"/>
      <c r="R27" s="97"/>
      <c r="S27" s="97"/>
      <c r="T27" s="97"/>
      <c r="U27" s="97"/>
      <c r="V27" s="97"/>
    </row>
    <row r="28" spans="2:22" hidden="1" x14ac:dyDescent="0.2">
      <c r="D28" s="97"/>
      <c r="E28" s="97"/>
      <c r="F28" s="97"/>
      <c r="G28" s="97"/>
      <c r="H28" s="97"/>
      <c r="I28" s="97"/>
      <c r="J28" s="97"/>
      <c r="K28" s="97"/>
      <c r="L28" s="97"/>
      <c r="M28" s="97"/>
      <c r="N28" s="97"/>
      <c r="O28" s="97"/>
      <c r="P28" s="97"/>
      <c r="Q28" s="97"/>
      <c r="R28" s="97"/>
      <c r="S28" s="97"/>
      <c r="T28" s="97"/>
      <c r="U28" s="97"/>
      <c r="V28" s="97"/>
    </row>
    <row r="29" spans="2:22" hidden="1" x14ac:dyDescent="0.2">
      <c r="D29" s="97"/>
      <c r="E29" s="97"/>
      <c r="F29" s="97"/>
      <c r="G29" s="97"/>
      <c r="H29" s="97"/>
      <c r="I29" s="97"/>
      <c r="J29" s="97"/>
      <c r="K29" s="97"/>
      <c r="L29" s="97"/>
      <c r="M29" s="97"/>
      <c r="N29" s="97"/>
      <c r="O29" s="97"/>
      <c r="P29" s="97"/>
      <c r="Q29" s="97"/>
      <c r="R29" s="97"/>
      <c r="S29" s="97"/>
      <c r="T29" s="97"/>
      <c r="U29" s="97"/>
      <c r="V29" s="97"/>
    </row>
    <row r="30" spans="2:22" hidden="1" x14ac:dyDescent="0.2">
      <c r="D30" s="97"/>
      <c r="E30" s="97"/>
      <c r="F30" s="97"/>
      <c r="G30" s="97"/>
      <c r="H30" s="97"/>
      <c r="I30" s="97"/>
      <c r="J30" s="97"/>
      <c r="K30" s="97"/>
      <c r="L30" s="97"/>
      <c r="M30" s="97"/>
      <c r="N30" s="97"/>
      <c r="O30" s="97"/>
      <c r="P30" s="97"/>
      <c r="Q30" s="97"/>
      <c r="R30" s="97"/>
      <c r="S30" s="97"/>
      <c r="T30" s="97"/>
      <c r="U30" s="97"/>
      <c r="V30" s="97"/>
    </row>
    <row r="31" spans="2:22" hidden="1" x14ac:dyDescent="0.2">
      <c r="D31" s="97"/>
      <c r="E31" s="97"/>
      <c r="F31" s="97"/>
      <c r="G31" s="97"/>
      <c r="H31" s="97"/>
      <c r="I31" s="97"/>
      <c r="J31" s="97"/>
      <c r="K31" s="97"/>
      <c r="L31" s="97"/>
      <c r="M31" s="97"/>
      <c r="N31" s="97"/>
      <c r="O31" s="97"/>
      <c r="P31" s="97"/>
      <c r="Q31" s="97"/>
      <c r="R31" s="97"/>
      <c r="S31" s="97"/>
      <c r="T31" s="97"/>
      <c r="U31" s="97"/>
      <c r="V31" s="97"/>
    </row>
    <row r="32" spans="2:22" hidden="1" x14ac:dyDescent="0.2">
      <c r="D32" s="97"/>
      <c r="E32" s="97"/>
      <c r="F32" s="97"/>
      <c r="G32" s="97"/>
      <c r="H32" s="97"/>
      <c r="I32" s="97"/>
      <c r="J32" s="97"/>
      <c r="K32" s="97"/>
      <c r="L32" s="97"/>
      <c r="M32" s="97"/>
      <c r="N32" s="97"/>
      <c r="O32" s="97"/>
      <c r="P32" s="97"/>
      <c r="Q32" s="97"/>
      <c r="R32" s="97"/>
      <c r="S32" s="97"/>
      <c r="T32" s="97"/>
      <c r="U32" s="97"/>
      <c r="V32" s="97"/>
    </row>
    <row r="33" spans="4:22" hidden="1" x14ac:dyDescent="0.2">
      <c r="D33" s="97"/>
      <c r="E33" s="97"/>
      <c r="F33" s="97"/>
      <c r="G33" s="97"/>
      <c r="H33" s="97"/>
      <c r="I33" s="97"/>
      <c r="J33" s="97"/>
      <c r="K33" s="97"/>
      <c r="L33" s="97"/>
      <c r="M33" s="97"/>
      <c r="N33" s="97"/>
      <c r="O33" s="97"/>
      <c r="P33" s="97"/>
      <c r="Q33" s="97"/>
      <c r="R33" s="97"/>
      <c r="S33" s="97"/>
      <c r="T33" s="97"/>
      <c r="U33" s="97"/>
      <c r="V33" s="97"/>
    </row>
    <row r="34" spans="4:22" hidden="1" x14ac:dyDescent="0.2">
      <c r="D34" s="97"/>
      <c r="E34" s="97"/>
      <c r="F34" s="97"/>
      <c r="G34" s="97"/>
      <c r="H34" s="97"/>
      <c r="I34" s="97"/>
      <c r="J34" s="97"/>
      <c r="K34" s="97"/>
      <c r="L34" s="97"/>
      <c r="M34" s="97"/>
      <c r="N34" s="97"/>
      <c r="O34" s="97"/>
      <c r="P34" s="97"/>
      <c r="Q34" s="97"/>
      <c r="R34" s="97"/>
      <c r="S34" s="97"/>
      <c r="T34" s="97"/>
      <c r="U34" s="97"/>
      <c r="V34" s="97"/>
    </row>
    <row r="35" spans="4:22" hidden="1" x14ac:dyDescent="0.2">
      <c r="D35" s="97"/>
      <c r="E35" s="97"/>
      <c r="F35" s="97"/>
      <c r="G35" s="97"/>
      <c r="H35" s="97"/>
      <c r="I35" s="97"/>
      <c r="J35" s="97"/>
      <c r="K35" s="97"/>
      <c r="L35" s="97"/>
      <c r="M35" s="97"/>
      <c r="N35" s="97"/>
      <c r="O35" s="97"/>
      <c r="P35" s="97"/>
      <c r="Q35" s="97"/>
      <c r="R35" s="97"/>
      <c r="S35" s="97"/>
      <c r="T35" s="97"/>
      <c r="U35" s="97"/>
      <c r="V35" s="97"/>
    </row>
  </sheetData>
  <mergeCells count="13">
    <mergeCell ref="C3:T3"/>
    <mergeCell ref="L9:M9"/>
    <mergeCell ref="C7:T7"/>
    <mergeCell ref="N9:O9"/>
    <mergeCell ref="C6:T6"/>
    <mergeCell ref="P9:Q9"/>
    <mergeCell ref="T9:T10"/>
    <mergeCell ref="R9:S9"/>
    <mergeCell ref="D9:E9"/>
    <mergeCell ref="F9:G9"/>
    <mergeCell ref="H9:I9"/>
    <mergeCell ref="J9:K9"/>
    <mergeCell ref="D8:S8"/>
  </mergeCells>
  <phoneticPr fontId="13" type="noConversion"/>
  <dataValidations count="1">
    <dataValidation type="list" allowBlank="1" showInputMessage="1" showErrorMessage="1" sqref="K4" xr:uid="{00000000-0002-0000-0900-000000000000}">
      <formula1>Years</formula1>
    </dataValidation>
  </dataValidations>
  <printOptions horizontalCentered="1" gridLines="1"/>
  <pageMargins left="0.45" right="0.45" top="0.5" bottom="0.5" header="0" footer="0"/>
  <pageSetup scale="68" orientation="landscape"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1000000}">
          <x14:formula1>
            <xm:f>'DOER reference'!$G$1:$G$8</xm:f>
          </x14:formula1>
          <xm:sqref>D5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71">
    <tabColor theme="0" tint="-0.249977111117893"/>
    <pageSetUpPr fitToPage="1"/>
  </sheetPr>
  <dimension ref="A1:F27"/>
  <sheetViews>
    <sheetView showGridLines="0" zoomScale="85" zoomScaleNormal="85" workbookViewId="0">
      <selection activeCell="C6" sqref="C6:F6"/>
    </sheetView>
  </sheetViews>
  <sheetFormatPr defaultColWidth="0" defaultRowHeight="18" zeroHeight="1" x14ac:dyDescent="0.25"/>
  <cols>
    <col min="1" max="2" width="8.85546875" style="37" customWidth="1"/>
    <col min="3" max="3" width="22.85546875" style="37" customWidth="1"/>
    <col min="4" max="4" width="93.42578125" style="37" customWidth="1"/>
    <col min="5" max="6" width="8.85546875" style="37" customWidth="1"/>
    <col min="7" max="16384" width="8.85546875" style="37" hidden="1"/>
  </cols>
  <sheetData>
    <row r="1" spans="2:5" ht="18.75" thickBot="1" x14ac:dyDescent="0.3"/>
    <row r="2" spans="2:5" x14ac:dyDescent="0.25">
      <c r="B2" s="27"/>
      <c r="C2" s="28"/>
      <c r="D2" s="28"/>
      <c r="E2" s="29"/>
    </row>
    <row r="3" spans="2:5" ht="20.25" x14ac:dyDescent="0.3">
      <c r="B3" s="30"/>
      <c r="C3" s="31" t="s">
        <v>220</v>
      </c>
      <c r="D3" s="31" t="s">
        <v>221</v>
      </c>
      <c r="E3" s="32"/>
    </row>
    <row r="4" spans="2:5" ht="20.25" x14ac:dyDescent="0.3">
      <c r="B4" s="30"/>
      <c r="C4" s="31" t="s">
        <v>222</v>
      </c>
      <c r="D4" s="31" t="s">
        <v>223</v>
      </c>
      <c r="E4" s="32"/>
    </row>
    <row r="5" spans="2:5" ht="18.75" thickBot="1" x14ac:dyDescent="0.3">
      <c r="B5" s="30"/>
      <c r="C5" s="33"/>
      <c r="D5" s="33"/>
      <c r="E5" s="32"/>
    </row>
    <row r="6" spans="2:5" ht="18" customHeight="1" thickBot="1" x14ac:dyDescent="0.3">
      <c r="B6" s="30"/>
      <c r="C6" s="10" t="s">
        <v>224</v>
      </c>
      <c r="D6" s="11" t="s">
        <v>225</v>
      </c>
      <c r="E6" s="32"/>
    </row>
    <row r="7" spans="2:5" ht="18" customHeight="1" thickBot="1" x14ac:dyDescent="0.3">
      <c r="B7" s="30"/>
      <c r="C7" s="8" t="s">
        <v>226</v>
      </c>
      <c r="D7" s="9" t="s">
        <v>227</v>
      </c>
      <c r="E7" s="32"/>
    </row>
    <row r="8" spans="2:5" ht="18" customHeight="1" thickBot="1" x14ac:dyDescent="0.3">
      <c r="B8" s="30"/>
      <c r="C8" s="8" t="s">
        <v>228</v>
      </c>
      <c r="D8" s="9" t="s">
        <v>229</v>
      </c>
      <c r="E8" s="32"/>
    </row>
    <row r="9" spans="2:5" ht="18" customHeight="1" thickBot="1" x14ac:dyDescent="0.3">
      <c r="B9" s="30"/>
      <c r="C9" s="8" t="s">
        <v>230</v>
      </c>
      <c r="D9" s="9" t="s">
        <v>231</v>
      </c>
      <c r="E9" s="32"/>
    </row>
    <row r="10" spans="2:5" ht="18" customHeight="1" thickBot="1" x14ac:dyDescent="0.3">
      <c r="B10" s="30"/>
      <c r="C10" s="8" t="s">
        <v>232</v>
      </c>
      <c r="D10" s="9" t="s">
        <v>233</v>
      </c>
      <c r="E10" s="32"/>
    </row>
    <row r="11" spans="2:5" ht="18" customHeight="1" thickBot="1" x14ac:dyDescent="0.3">
      <c r="B11" s="30"/>
      <c r="C11" s="8" t="s">
        <v>234</v>
      </c>
      <c r="D11" s="9" t="s">
        <v>235</v>
      </c>
      <c r="E11" s="32"/>
    </row>
    <row r="12" spans="2:5" ht="18" customHeight="1" thickBot="1" x14ac:dyDescent="0.3">
      <c r="B12" s="30"/>
      <c r="C12" s="8" t="s">
        <v>236</v>
      </c>
      <c r="D12" s="9" t="s">
        <v>237</v>
      </c>
      <c r="E12" s="32"/>
    </row>
    <row r="13" spans="2:5" ht="18" customHeight="1" thickBot="1" x14ac:dyDescent="0.3">
      <c r="B13" s="30"/>
      <c r="C13" s="8" t="s">
        <v>238</v>
      </c>
      <c r="D13" s="9" t="s">
        <v>239</v>
      </c>
      <c r="E13" s="32"/>
    </row>
    <row r="14" spans="2:5" ht="18" customHeight="1" thickBot="1" x14ac:dyDescent="0.3">
      <c r="B14" s="30"/>
      <c r="C14" s="8" t="s">
        <v>240</v>
      </c>
      <c r="D14" s="9" t="s">
        <v>241</v>
      </c>
      <c r="E14" s="32"/>
    </row>
    <row r="15" spans="2:5" ht="18" customHeight="1" thickBot="1" x14ac:dyDescent="0.3">
      <c r="B15" s="30"/>
      <c r="C15" s="8" t="s">
        <v>242</v>
      </c>
      <c r="D15" s="9" t="s">
        <v>243</v>
      </c>
      <c r="E15" s="32"/>
    </row>
    <row r="16" spans="2:5" ht="18" customHeight="1" thickBot="1" x14ac:dyDescent="0.3">
      <c r="B16" s="30"/>
      <c r="C16" s="8" t="s">
        <v>182</v>
      </c>
      <c r="D16" s="9" t="s">
        <v>244</v>
      </c>
      <c r="E16" s="32"/>
    </row>
    <row r="17" spans="2:5" ht="18" customHeight="1" thickBot="1" x14ac:dyDescent="0.3">
      <c r="B17" s="30"/>
      <c r="C17" s="10" t="s">
        <v>245</v>
      </c>
      <c r="D17" s="11" t="s">
        <v>246</v>
      </c>
      <c r="E17" s="32"/>
    </row>
    <row r="18" spans="2:5" ht="40.9" customHeight="1" thickBot="1" x14ac:dyDescent="0.3">
      <c r="B18" s="30"/>
      <c r="C18" s="10" t="s">
        <v>247</v>
      </c>
      <c r="D18" s="11" t="s">
        <v>248</v>
      </c>
      <c r="E18" s="32"/>
    </row>
    <row r="19" spans="2:5" ht="19.5" thickBot="1" x14ac:dyDescent="0.3">
      <c r="B19" s="30"/>
      <c r="C19" s="10" t="s">
        <v>249</v>
      </c>
      <c r="D19" s="11" t="s">
        <v>250</v>
      </c>
      <c r="E19" s="32"/>
    </row>
    <row r="20" spans="2:5" x14ac:dyDescent="0.25">
      <c r="B20" s="30"/>
      <c r="C20" s="33"/>
      <c r="D20" s="33"/>
      <c r="E20" s="32"/>
    </row>
    <row r="21" spans="2:5" ht="21" thickBot="1" x14ac:dyDescent="0.35">
      <c r="B21" s="30"/>
      <c r="C21" s="31" t="s">
        <v>251</v>
      </c>
      <c r="D21" s="31" t="s">
        <v>223</v>
      </c>
      <c r="E21" s="32"/>
    </row>
    <row r="22" spans="2:5" ht="19.5" thickBot="1" x14ac:dyDescent="0.3">
      <c r="B22" s="30"/>
      <c r="C22" s="10" t="s">
        <v>252</v>
      </c>
      <c r="D22" s="225" t="s">
        <v>253</v>
      </c>
      <c r="E22" s="32"/>
    </row>
    <row r="23" spans="2:5" ht="38.25" thickBot="1" x14ac:dyDescent="0.3">
      <c r="B23" s="30"/>
      <c r="C23" s="8" t="s">
        <v>254</v>
      </c>
      <c r="D23" s="9" t="s">
        <v>255</v>
      </c>
      <c r="E23" s="32"/>
    </row>
    <row r="24" spans="2:5" ht="19.5" thickBot="1" x14ac:dyDescent="0.3">
      <c r="B24" s="30"/>
      <c r="C24" s="8" t="s">
        <v>256</v>
      </c>
      <c r="D24" s="9" t="s">
        <v>257</v>
      </c>
      <c r="E24" s="32"/>
    </row>
    <row r="25" spans="2:5" ht="19.5" thickBot="1" x14ac:dyDescent="0.3">
      <c r="B25" s="30"/>
      <c r="C25" s="8" t="s">
        <v>258</v>
      </c>
      <c r="D25" s="9" t="s">
        <v>259</v>
      </c>
      <c r="E25" s="32"/>
    </row>
    <row r="26" spans="2:5" ht="18.75" thickBot="1" x14ac:dyDescent="0.3">
      <c r="B26" s="34"/>
      <c r="C26" s="35"/>
      <c r="D26" s="35"/>
      <c r="E26" s="36"/>
    </row>
    <row r="27" spans="2:5" x14ac:dyDescent="0.25"/>
  </sheetData>
  <phoneticPr fontId="0" type="noConversion"/>
  <pageMargins left="0.7" right="0.7" top="0.75" bottom="0.75" header="0.3" footer="0.3"/>
  <pageSetup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8">
    <tabColor rgb="FFFFFF00"/>
    <pageSetUpPr fitToPage="1"/>
  </sheetPr>
  <dimension ref="A1:W132"/>
  <sheetViews>
    <sheetView showGridLines="0" zoomScale="80" zoomScaleNormal="80" workbookViewId="0">
      <selection activeCell="M25" sqref="M25"/>
    </sheetView>
  </sheetViews>
  <sheetFormatPr defaultColWidth="0" defaultRowHeight="14.25" zeroHeight="1" x14ac:dyDescent="0.2"/>
  <cols>
    <col min="1" max="1" width="3.140625" style="70" customWidth="1"/>
    <col min="2" max="2" width="2.85546875" style="70" customWidth="1"/>
    <col min="3" max="3" width="19.85546875" style="70" customWidth="1"/>
    <col min="4" max="4" width="32.140625" style="70" bestFit="1" customWidth="1"/>
    <col min="5" max="6" width="21.5703125" style="70" customWidth="1"/>
    <col min="7" max="8" width="16.5703125" style="70" customWidth="1"/>
    <col min="9" max="10" width="14" style="70" customWidth="1"/>
    <col min="11" max="14" width="13.5703125" style="70" customWidth="1"/>
    <col min="15" max="15" width="14.28515625" style="70" customWidth="1"/>
    <col min="16" max="16" width="13.5703125" style="70" customWidth="1"/>
    <col min="17" max="17" width="15.85546875" style="70" customWidth="1"/>
    <col min="18" max="18" width="13.85546875" style="70" customWidth="1"/>
    <col min="19" max="19" width="14.7109375" style="70" customWidth="1"/>
    <col min="20" max="20" width="14.42578125" style="71" customWidth="1"/>
    <col min="21" max="21" width="20.42578125" style="70" customWidth="1"/>
    <col min="22" max="22" width="4.28515625" style="70" customWidth="1"/>
    <col min="23" max="23" width="9.140625" style="70" customWidth="1"/>
    <col min="24" max="16384" width="9.140625" style="70" hidden="1"/>
  </cols>
  <sheetData>
    <row r="1" spans="2:22" ht="15" thickBot="1" x14ac:dyDescent="0.25"/>
    <row r="2" spans="2:22" x14ac:dyDescent="0.2">
      <c r="B2" s="72"/>
      <c r="C2" s="73"/>
      <c r="D2" s="73"/>
      <c r="E2" s="73"/>
      <c r="F2" s="73"/>
      <c r="G2" s="73"/>
      <c r="H2" s="73"/>
      <c r="I2" s="73"/>
      <c r="J2" s="73"/>
      <c r="K2" s="73"/>
      <c r="L2" s="73"/>
      <c r="M2" s="73"/>
      <c r="N2" s="73"/>
      <c r="O2" s="73"/>
      <c r="P2" s="73"/>
      <c r="Q2" s="73"/>
      <c r="R2" s="73"/>
      <c r="S2" s="73"/>
      <c r="T2" s="74"/>
      <c r="U2" s="73"/>
      <c r="V2" s="75"/>
    </row>
    <row r="3" spans="2:22" ht="30.75" customHeight="1" x14ac:dyDescent="0.2">
      <c r="B3" s="76"/>
      <c r="C3" s="100"/>
      <c r="D3" s="1004" t="s">
        <v>260</v>
      </c>
      <c r="E3" s="1004"/>
      <c r="F3" s="1004"/>
      <c r="G3" s="407"/>
      <c r="H3" s="407"/>
      <c r="I3" s="407"/>
      <c r="J3" s="407"/>
      <c r="K3" s="407"/>
      <c r="L3" s="407"/>
      <c r="M3" s="407"/>
      <c r="N3" s="407"/>
      <c r="O3" s="407"/>
      <c r="P3" s="407"/>
      <c r="Q3" s="407"/>
      <c r="R3" s="407"/>
      <c r="S3" s="407"/>
      <c r="T3" s="407"/>
      <c r="U3" s="407"/>
      <c r="V3" s="77"/>
    </row>
    <row r="4" spans="2:22" ht="36" customHeight="1" thickBot="1" x14ac:dyDescent="0.3">
      <c r="B4" s="76"/>
      <c r="C4" s="1009" t="s">
        <v>662</v>
      </c>
      <c r="D4" s="1009"/>
      <c r="E4" s="1009"/>
      <c r="F4" s="1009"/>
      <c r="G4" s="1009"/>
      <c r="H4" s="1009"/>
      <c r="I4" s="407"/>
      <c r="J4" s="407"/>
      <c r="K4" s="407"/>
      <c r="L4" s="407"/>
      <c r="M4" s="407"/>
      <c r="N4" s="407"/>
      <c r="O4" s="407"/>
      <c r="P4" s="407"/>
      <c r="Q4" s="407"/>
      <c r="R4" s="407"/>
      <c r="S4" s="407"/>
      <c r="T4" s="407"/>
      <c r="U4" s="407"/>
      <c r="V4" s="77"/>
    </row>
    <row r="5" spans="2:22" ht="30.75" customHeight="1" thickBot="1" x14ac:dyDescent="0.3">
      <c r="B5" s="76"/>
      <c r="C5" s="100"/>
      <c r="D5" s="1007" t="s">
        <v>261</v>
      </c>
      <c r="E5" s="1007"/>
      <c r="F5" s="1008"/>
      <c r="G5" s="1005" t="s">
        <v>262</v>
      </c>
      <c r="H5" s="1006"/>
      <c r="I5" s="1006"/>
      <c r="J5" s="1006"/>
      <c r="K5" s="1006"/>
      <c r="L5" s="1006"/>
      <c r="M5" s="1006"/>
      <c r="N5" s="193"/>
      <c r="O5" s="193"/>
      <c r="P5" s="193"/>
      <c r="Q5" s="193"/>
      <c r="R5" s="193"/>
      <c r="S5" s="193"/>
      <c r="T5" s="193"/>
      <c r="U5" s="194"/>
      <c r="V5" s="77"/>
    </row>
    <row r="6" spans="2:22" s="80" customFormat="1" ht="48" customHeight="1" thickBot="1" x14ac:dyDescent="0.3">
      <c r="B6" s="78"/>
      <c r="C6" s="903" t="s">
        <v>263</v>
      </c>
      <c r="D6" s="904"/>
      <c r="E6" s="904"/>
      <c r="F6" s="905"/>
      <c r="G6" s="903" t="s">
        <v>34</v>
      </c>
      <c r="H6" s="905"/>
      <c r="I6" s="1013" t="s">
        <v>264</v>
      </c>
      <c r="J6" s="1014"/>
      <c r="K6" s="1014"/>
      <c r="L6" s="1014"/>
      <c r="M6" s="1014"/>
      <c r="N6" s="1015"/>
      <c r="O6" s="1018" t="s">
        <v>265</v>
      </c>
      <c r="P6" s="1019"/>
      <c r="Q6" s="1019"/>
      <c r="R6" s="1019"/>
      <c r="S6" s="1020"/>
      <c r="T6" s="1016" t="s">
        <v>266</v>
      </c>
      <c r="U6" s="1017"/>
      <c r="V6" s="79"/>
    </row>
    <row r="7" spans="2:22" s="86" customFormat="1" ht="108" customHeight="1" thickBot="1" x14ac:dyDescent="0.25">
      <c r="B7" s="81"/>
      <c r="C7" s="714" t="s">
        <v>267</v>
      </c>
      <c r="D7" s="714" t="s">
        <v>268</v>
      </c>
      <c r="E7" s="84" t="s">
        <v>269</v>
      </c>
      <c r="F7" s="84" t="s">
        <v>270</v>
      </c>
      <c r="G7" s="95" t="s">
        <v>271</v>
      </c>
      <c r="H7" s="95" t="s">
        <v>272</v>
      </c>
      <c r="I7" s="82" t="s">
        <v>273</v>
      </c>
      <c r="J7" s="83" t="s">
        <v>274</v>
      </c>
      <c r="K7" s="83" t="s">
        <v>275</v>
      </c>
      <c r="L7" s="83" t="s">
        <v>276</v>
      </c>
      <c r="M7" s="83" t="s">
        <v>277</v>
      </c>
      <c r="N7" s="84" t="s">
        <v>278</v>
      </c>
      <c r="O7" s="82" t="s">
        <v>279</v>
      </c>
      <c r="P7" s="83" t="s">
        <v>280</v>
      </c>
      <c r="Q7" s="83" t="s">
        <v>281</v>
      </c>
      <c r="R7" s="83" t="s">
        <v>282</v>
      </c>
      <c r="S7" s="84" t="s">
        <v>283</v>
      </c>
      <c r="T7" s="714" t="s">
        <v>284</v>
      </c>
      <c r="U7" s="84" t="s">
        <v>285</v>
      </c>
      <c r="V7" s="85"/>
    </row>
    <row r="8" spans="2:22" x14ac:dyDescent="0.2">
      <c r="B8" s="76"/>
      <c r="C8" s="718" t="s">
        <v>179</v>
      </c>
      <c r="D8" s="719" t="s">
        <v>777</v>
      </c>
      <c r="E8" s="720" t="s">
        <v>778</v>
      </c>
      <c r="F8" s="721" t="s">
        <v>722</v>
      </c>
      <c r="G8" s="719" t="s">
        <v>254</v>
      </c>
      <c r="H8" s="722" t="s">
        <v>727</v>
      </c>
      <c r="I8" s="723">
        <v>12486</v>
      </c>
      <c r="J8" s="720" t="s">
        <v>700</v>
      </c>
      <c r="K8" s="720" t="s">
        <v>700</v>
      </c>
      <c r="L8" s="720" t="s">
        <v>700</v>
      </c>
      <c r="M8" s="720" t="s">
        <v>700</v>
      </c>
      <c r="N8" s="720" t="s">
        <v>700</v>
      </c>
      <c r="O8" s="724">
        <v>2060</v>
      </c>
      <c r="P8" s="724">
        <v>7050</v>
      </c>
      <c r="Q8" s="720" t="s">
        <v>700</v>
      </c>
      <c r="R8" s="724">
        <v>7050</v>
      </c>
      <c r="S8" s="725">
        <v>0</v>
      </c>
      <c r="T8" s="726" t="s">
        <v>706</v>
      </c>
      <c r="U8" s="727" t="s">
        <v>707</v>
      </c>
      <c r="V8" s="77"/>
    </row>
    <row r="9" spans="2:22" ht="15.75" x14ac:dyDescent="0.25">
      <c r="B9" s="76"/>
      <c r="C9" s="728" t="s">
        <v>179</v>
      </c>
      <c r="D9" s="729" t="s">
        <v>697</v>
      </c>
      <c r="E9" s="730" t="s">
        <v>702</v>
      </c>
      <c r="F9" s="731" t="s">
        <v>304</v>
      </c>
      <c r="G9" s="732" t="s">
        <v>252</v>
      </c>
      <c r="H9" s="733">
        <v>43228</v>
      </c>
      <c r="I9" s="734">
        <v>67180</v>
      </c>
      <c r="J9" s="735" t="s">
        <v>700</v>
      </c>
      <c r="K9" s="735" t="s">
        <v>700</v>
      </c>
      <c r="L9" s="735" t="s">
        <v>700</v>
      </c>
      <c r="M9" s="735" t="s">
        <v>700</v>
      </c>
      <c r="N9" s="730" t="s">
        <v>700</v>
      </c>
      <c r="O9" s="736">
        <v>11085</v>
      </c>
      <c r="P9" s="737">
        <v>34133</v>
      </c>
      <c r="Q9" s="737">
        <v>18287</v>
      </c>
      <c r="R9" s="737">
        <v>15846</v>
      </c>
      <c r="S9" s="737">
        <v>0</v>
      </c>
      <c r="T9" s="738" t="s">
        <v>703</v>
      </c>
      <c r="U9" s="739" t="s">
        <v>704</v>
      </c>
      <c r="V9" s="77"/>
    </row>
    <row r="10" spans="2:22" x14ac:dyDescent="0.2">
      <c r="B10" s="76"/>
      <c r="C10" s="728" t="s">
        <v>179</v>
      </c>
      <c r="D10" s="729" t="s">
        <v>697</v>
      </c>
      <c r="E10" s="720" t="s">
        <v>705</v>
      </c>
      <c r="F10" s="735" t="s">
        <v>230</v>
      </c>
      <c r="G10" s="740" t="s">
        <v>252</v>
      </c>
      <c r="H10" s="741">
        <v>43791</v>
      </c>
      <c r="I10" s="723">
        <v>107394</v>
      </c>
      <c r="J10" s="735" t="s">
        <v>700</v>
      </c>
      <c r="K10" s="735" t="s">
        <v>700</v>
      </c>
      <c r="L10" s="735" t="s">
        <v>700</v>
      </c>
      <c r="M10" s="735" t="s">
        <v>700</v>
      </c>
      <c r="N10" s="735" t="s">
        <v>700</v>
      </c>
      <c r="O10" s="724">
        <v>17720</v>
      </c>
      <c r="P10" s="724">
        <v>40700</v>
      </c>
      <c r="Q10" s="720" t="s">
        <v>700</v>
      </c>
      <c r="R10" s="724">
        <v>40700</v>
      </c>
      <c r="S10" s="724">
        <v>0</v>
      </c>
      <c r="T10" s="727" t="s">
        <v>706</v>
      </c>
      <c r="U10" s="727" t="s">
        <v>707</v>
      </c>
      <c r="V10" s="77"/>
    </row>
    <row r="11" spans="2:22" x14ac:dyDescent="0.2">
      <c r="B11" s="76"/>
      <c r="C11" s="728" t="s">
        <v>179</v>
      </c>
      <c r="D11" s="729" t="s">
        <v>697</v>
      </c>
      <c r="E11" s="742" t="s">
        <v>714</v>
      </c>
      <c r="F11" s="731" t="s">
        <v>230</v>
      </c>
      <c r="G11" s="732" t="s">
        <v>252</v>
      </c>
      <c r="H11" s="743">
        <v>43791</v>
      </c>
      <c r="I11" s="744" t="s">
        <v>700</v>
      </c>
      <c r="J11" s="730" t="s">
        <v>700</v>
      </c>
      <c r="K11" s="730" t="s">
        <v>700</v>
      </c>
      <c r="L11" s="730" t="s">
        <v>700</v>
      </c>
      <c r="M11" s="730" t="s">
        <v>700</v>
      </c>
      <c r="N11" s="730" t="s">
        <v>700</v>
      </c>
      <c r="O11" s="745">
        <v>0</v>
      </c>
      <c r="P11" s="745">
        <v>0</v>
      </c>
      <c r="Q11" s="742" t="s">
        <v>700</v>
      </c>
      <c r="R11" s="745">
        <v>0</v>
      </c>
      <c r="S11" s="746">
        <v>0</v>
      </c>
      <c r="T11" s="747" t="s">
        <v>706</v>
      </c>
      <c r="U11" s="748" t="s">
        <v>707</v>
      </c>
      <c r="V11" s="77"/>
    </row>
    <row r="12" spans="2:22" x14ac:dyDescent="0.2">
      <c r="B12" s="76"/>
      <c r="C12" s="728" t="s">
        <v>179</v>
      </c>
      <c r="D12" s="729" t="s">
        <v>697</v>
      </c>
      <c r="E12" s="730" t="s">
        <v>6</v>
      </c>
      <c r="F12" s="731" t="s">
        <v>242</v>
      </c>
      <c r="G12" s="732" t="s">
        <v>252</v>
      </c>
      <c r="H12" s="749" t="s">
        <v>713</v>
      </c>
      <c r="I12" s="734">
        <v>2008</v>
      </c>
      <c r="J12" s="750">
        <v>2754</v>
      </c>
      <c r="K12" s="730" t="s">
        <v>700</v>
      </c>
      <c r="L12" s="730" t="s">
        <v>700</v>
      </c>
      <c r="M12" s="730" t="s">
        <v>700</v>
      </c>
      <c r="N12" s="730" t="s">
        <v>700</v>
      </c>
      <c r="O12" s="736">
        <v>3521</v>
      </c>
      <c r="P12" s="736">
        <v>25000</v>
      </c>
      <c r="Q12" s="751">
        <v>77956</v>
      </c>
      <c r="R12" s="752">
        <v>3546</v>
      </c>
      <c r="S12" s="753">
        <v>21454</v>
      </c>
      <c r="T12" s="738" t="s">
        <v>703</v>
      </c>
      <c r="U12" s="739" t="s">
        <v>704</v>
      </c>
      <c r="V12" s="77"/>
    </row>
    <row r="13" spans="2:22" x14ac:dyDescent="0.2">
      <c r="B13" s="76"/>
      <c r="C13" s="728" t="s">
        <v>179</v>
      </c>
      <c r="D13" s="754" t="s">
        <v>720</v>
      </c>
      <c r="E13" s="755" t="s">
        <v>721</v>
      </c>
      <c r="F13" s="755" t="s">
        <v>722</v>
      </c>
      <c r="G13" s="755" t="s">
        <v>252</v>
      </c>
      <c r="H13" s="756" t="s">
        <v>723</v>
      </c>
      <c r="I13" s="757">
        <v>4508</v>
      </c>
      <c r="J13" s="755" t="s">
        <v>700</v>
      </c>
      <c r="K13" s="755" t="s">
        <v>700</v>
      </c>
      <c r="L13" s="755" t="s">
        <v>700</v>
      </c>
      <c r="M13" s="755" t="s">
        <v>700</v>
      </c>
      <c r="N13" s="755" t="s">
        <v>700</v>
      </c>
      <c r="O13" s="758">
        <v>676</v>
      </c>
      <c r="P13" s="758">
        <v>3000</v>
      </c>
      <c r="Q13" s="755" t="s">
        <v>700</v>
      </c>
      <c r="R13" s="758">
        <v>1127</v>
      </c>
      <c r="S13" s="758">
        <v>1873</v>
      </c>
      <c r="T13" s="759" t="s">
        <v>724</v>
      </c>
      <c r="U13" s="759" t="s">
        <v>725</v>
      </c>
      <c r="V13" s="77"/>
    </row>
    <row r="14" spans="2:22" x14ac:dyDescent="0.2">
      <c r="B14" s="76"/>
      <c r="C14" s="728" t="s">
        <v>179</v>
      </c>
      <c r="D14" s="754" t="s">
        <v>720</v>
      </c>
      <c r="E14" s="755" t="s">
        <v>728</v>
      </c>
      <c r="F14" s="760" t="s">
        <v>230</v>
      </c>
      <c r="G14" s="754" t="s">
        <v>252</v>
      </c>
      <c r="H14" s="761" t="s">
        <v>723</v>
      </c>
      <c r="I14" s="757">
        <v>16750</v>
      </c>
      <c r="J14" s="755" t="s">
        <v>700</v>
      </c>
      <c r="K14" s="755" t="s">
        <v>700</v>
      </c>
      <c r="L14" s="755" t="s">
        <v>700</v>
      </c>
      <c r="M14" s="755" t="s">
        <v>700</v>
      </c>
      <c r="N14" s="755" t="s">
        <v>700</v>
      </c>
      <c r="O14" s="758">
        <v>2512</v>
      </c>
      <c r="P14" s="758">
        <v>34570</v>
      </c>
      <c r="Q14" s="755" t="s">
        <v>700</v>
      </c>
      <c r="R14" s="758">
        <v>4187</v>
      </c>
      <c r="S14" s="762">
        <v>30383</v>
      </c>
      <c r="T14" s="763" t="s">
        <v>724</v>
      </c>
      <c r="U14" s="759" t="s">
        <v>729</v>
      </c>
      <c r="V14" s="77"/>
    </row>
    <row r="15" spans="2:22" x14ac:dyDescent="0.2">
      <c r="B15" s="76"/>
      <c r="C15" s="728" t="s">
        <v>179</v>
      </c>
      <c r="D15" s="764" t="s">
        <v>730</v>
      </c>
      <c r="E15" s="742" t="s">
        <v>732</v>
      </c>
      <c r="F15" s="765" t="s">
        <v>230</v>
      </c>
      <c r="G15" s="732" t="s">
        <v>252</v>
      </c>
      <c r="H15" s="766">
        <v>43791</v>
      </c>
      <c r="I15" s="767">
        <v>57416</v>
      </c>
      <c r="J15" s="768" t="s">
        <v>700</v>
      </c>
      <c r="K15" s="768" t="s">
        <v>700</v>
      </c>
      <c r="L15" s="768" t="s">
        <v>700</v>
      </c>
      <c r="M15" s="768" t="s">
        <v>700</v>
      </c>
      <c r="N15" s="768" t="s">
        <v>700</v>
      </c>
      <c r="O15" s="745">
        <v>9474</v>
      </c>
      <c r="P15" s="745">
        <v>21688</v>
      </c>
      <c r="Q15" s="742" t="s">
        <v>700</v>
      </c>
      <c r="R15" s="745">
        <v>21688</v>
      </c>
      <c r="S15" s="746">
        <v>0</v>
      </c>
      <c r="T15" s="747" t="s">
        <v>706</v>
      </c>
      <c r="U15" s="748" t="s">
        <v>707</v>
      </c>
      <c r="V15" s="77"/>
    </row>
    <row r="16" spans="2:22" x14ac:dyDescent="0.2">
      <c r="B16" s="76"/>
      <c r="C16" s="728" t="s">
        <v>179</v>
      </c>
      <c r="D16" s="764" t="s">
        <v>730</v>
      </c>
      <c r="E16" s="742" t="s">
        <v>737</v>
      </c>
      <c r="F16" s="765" t="s">
        <v>230</v>
      </c>
      <c r="G16" s="732" t="s">
        <v>252</v>
      </c>
      <c r="H16" s="766">
        <v>43791</v>
      </c>
      <c r="I16" s="744" t="s">
        <v>700</v>
      </c>
      <c r="J16" s="768" t="s">
        <v>700</v>
      </c>
      <c r="K16" s="768" t="s">
        <v>700</v>
      </c>
      <c r="L16" s="768" t="s">
        <v>700</v>
      </c>
      <c r="M16" s="768" t="s">
        <v>700</v>
      </c>
      <c r="N16" s="768" t="s">
        <v>700</v>
      </c>
      <c r="O16" s="745">
        <v>0</v>
      </c>
      <c r="P16" s="745">
        <v>0</v>
      </c>
      <c r="Q16" s="742" t="s">
        <v>700</v>
      </c>
      <c r="R16" s="745">
        <v>0</v>
      </c>
      <c r="S16" s="746">
        <v>0</v>
      </c>
      <c r="T16" s="747" t="s">
        <v>706</v>
      </c>
      <c r="U16" s="748" t="s">
        <v>707</v>
      </c>
      <c r="V16" s="77"/>
    </row>
    <row r="17" spans="2:22" ht="15.75" x14ac:dyDescent="0.25">
      <c r="B17" s="76"/>
      <c r="C17" s="728" t="s">
        <v>179</v>
      </c>
      <c r="D17" s="729" t="s">
        <v>738</v>
      </c>
      <c r="E17" s="730" t="s">
        <v>702</v>
      </c>
      <c r="F17" s="731" t="s">
        <v>304</v>
      </c>
      <c r="G17" s="732" t="s">
        <v>252</v>
      </c>
      <c r="H17" s="769">
        <v>43228</v>
      </c>
      <c r="I17" s="734">
        <v>93868</v>
      </c>
      <c r="J17" s="735" t="s">
        <v>700</v>
      </c>
      <c r="K17" s="735" t="s">
        <v>700</v>
      </c>
      <c r="L17" s="735" t="s">
        <v>700</v>
      </c>
      <c r="M17" s="735" t="s">
        <v>700</v>
      </c>
      <c r="N17" s="730" t="s">
        <v>700</v>
      </c>
      <c r="O17" s="736">
        <v>15488</v>
      </c>
      <c r="P17" s="770">
        <v>46628</v>
      </c>
      <c r="Q17" s="770">
        <v>24484</v>
      </c>
      <c r="R17" s="770">
        <v>22144</v>
      </c>
      <c r="S17" s="737">
        <v>0</v>
      </c>
      <c r="T17" s="738" t="s">
        <v>703</v>
      </c>
      <c r="U17" s="739" t="s">
        <v>704</v>
      </c>
      <c r="V17" s="77"/>
    </row>
    <row r="18" spans="2:22" x14ac:dyDescent="0.2">
      <c r="B18" s="76"/>
      <c r="C18" s="718" t="s">
        <v>179</v>
      </c>
      <c r="D18" s="729" t="s">
        <v>738</v>
      </c>
      <c r="E18" s="742" t="s">
        <v>732</v>
      </c>
      <c r="F18" s="731" t="s">
        <v>230</v>
      </c>
      <c r="G18" s="732" t="s">
        <v>252</v>
      </c>
      <c r="H18" s="766">
        <v>43791</v>
      </c>
      <c r="I18" s="767">
        <v>242014</v>
      </c>
      <c r="J18" s="730" t="s">
        <v>700</v>
      </c>
      <c r="K18" s="730" t="s">
        <v>700</v>
      </c>
      <c r="L18" s="730" t="s">
        <v>700</v>
      </c>
      <c r="M18" s="730" t="s">
        <v>700</v>
      </c>
      <c r="N18" s="730" t="s">
        <v>700</v>
      </c>
      <c r="O18" s="745">
        <v>39932</v>
      </c>
      <c r="P18" s="745">
        <v>88334</v>
      </c>
      <c r="Q18" s="742" t="s">
        <v>700</v>
      </c>
      <c r="R18" s="745">
        <v>88334</v>
      </c>
      <c r="S18" s="746">
        <v>0</v>
      </c>
      <c r="T18" s="747" t="s">
        <v>706</v>
      </c>
      <c r="U18" s="748" t="s">
        <v>707</v>
      </c>
      <c r="V18" s="77"/>
    </row>
    <row r="19" spans="2:22" x14ac:dyDescent="0.2">
      <c r="B19" s="76"/>
      <c r="C19" s="718" t="s">
        <v>179</v>
      </c>
      <c r="D19" s="729" t="s">
        <v>738</v>
      </c>
      <c r="E19" s="742" t="s">
        <v>740</v>
      </c>
      <c r="F19" s="731" t="s">
        <v>230</v>
      </c>
      <c r="G19" s="732" t="s">
        <v>252</v>
      </c>
      <c r="H19" s="766">
        <v>43791</v>
      </c>
      <c r="I19" s="744" t="s">
        <v>700</v>
      </c>
      <c r="J19" s="735" t="s">
        <v>700</v>
      </c>
      <c r="K19" s="735" t="s">
        <v>700</v>
      </c>
      <c r="L19" s="735" t="s">
        <v>700</v>
      </c>
      <c r="M19" s="735" t="s">
        <v>700</v>
      </c>
      <c r="N19" s="730" t="s">
        <v>700</v>
      </c>
      <c r="O19" s="745">
        <v>0</v>
      </c>
      <c r="P19" s="724">
        <v>0</v>
      </c>
      <c r="Q19" s="720" t="s">
        <v>700</v>
      </c>
      <c r="R19" s="724">
        <v>0</v>
      </c>
      <c r="S19" s="725">
        <v>0</v>
      </c>
      <c r="T19" s="747" t="s">
        <v>706</v>
      </c>
      <c r="U19" s="748" t="s">
        <v>707</v>
      </c>
      <c r="V19" s="77"/>
    </row>
    <row r="20" spans="2:22" ht="15.75" x14ac:dyDescent="0.25">
      <c r="B20" s="76"/>
      <c r="C20" s="718" t="s">
        <v>179</v>
      </c>
      <c r="D20" s="771" t="s">
        <v>741</v>
      </c>
      <c r="E20" s="772" t="s">
        <v>754</v>
      </c>
      <c r="F20" s="772" t="s">
        <v>304</v>
      </c>
      <c r="G20" s="773" t="s">
        <v>252</v>
      </c>
      <c r="H20" s="733">
        <v>43228</v>
      </c>
      <c r="I20" s="774">
        <v>5510</v>
      </c>
      <c r="J20" s="772" t="s">
        <v>700</v>
      </c>
      <c r="K20" s="772" t="s">
        <v>700</v>
      </c>
      <c r="L20" s="772" t="s">
        <v>700</v>
      </c>
      <c r="M20" s="772" t="s">
        <v>700</v>
      </c>
      <c r="N20" s="772" t="s">
        <v>700</v>
      </c>
      <c r="O20" s="775">
        <v>827</v>
      </c>
      <c r="P20" s="776">
        <v>9287</v>
      </c>
      <c r="Q20" s="776">
        <v>1173</v>
      </c>
      <c r="R20" s="776">
        <v>5886</v>
      </c>
      <c r="S20" s="776">
        <v>2229</v>
      </c>
      <c r="T20" s="777" t="s">
        <v>703</v>
      </c>
      <c r="U20" s="739" t="s">
        <v>704</v>
      </c>
      <c r="V20" s="77"/>
    </row>
    <row r="21" spans="2:22" x14ac:dyDescent="0.2">
      <c r="B21" s="76"/>
      <c r="C21" s="718" t="s">
        <v>179</v>
      </c>
      <c r="D21" s="771" t="s">
        <v>741</v>
      </c>
      <c r="E21" s="772" t="s">
        <v>742</v>
      </c>
      <c r="F21" s="778" t="s">
        <v>230</v>
      </c>
      <c r="G21" s="771" t="s">
        <v>252</v>
      </c>
      <c r="H21" s="731" t="s">
        <v>718</v>
      </c>
      <c r="I21" s="774">
        <v>16305</v>
      </c>
      <c r="J21" s="772" t="s">
        <v>700</v>
      </c>
      <c r="K21" s="772" t="s">
        <v>700</v>
      </c>
      <c r="L21" s="772" t="s">
        <v>700</v>
      </c>
      <c r="M21" s="772" t="s">
        <v>700</v>
      </c>
      <c r="N21" s="772" t="s">
        <v>700</v>
      </c>
      <c r="O21" s="775">
        <v>2446</v>
      </c>
      <c r="P21" s="775">
        <v>350</v>
      </c>
      <c r="Q21" s="772" t="s">
        <v>700</v>
      </c>
      <c r="R21" s="772" t="s">
        <v>700</v>
      </c>
      <c r="S21" s="779">
        <v>350</v>
      </c>
      <c r="T21" s="780" t="s">
        <v>724</v>
      </c>
      <c r="U21" s="781" t="s">
        <v>743</v>
      </c>
      <c r="V21" s="77"/>
    </row>
    <row r="22" spans="2:22" ht="15.75" x14ac:dyDescent="0.25">
      <c r="B22" s="76"/>
      <c r="C22" s="718" t="s">
        <v>179</v>
      </c>
      <c r="D22" s="764" t="s">
        <v>755</v>
      </c>
      <c r="E22" s="768" t="s">
        <v>702</v>
      </c>
      <c r="F22" s="765" t="s">
        <v>304</v>
      </c>
      <c r="G22" s="732" t="s">
        <v>252</v>
      </c>
      <c r="H22" s="782">
        <v>43228</v>
      </c>
      <c r="I22" s="783">
        <v>53134</v>
      </c>
      <c r="J22" s="768" t="s">
        <v>700</v>
      </c>
      <c r="K22" s="768" t="s">
        <v>700</v>
      </c>
      <c r="L22" s="768" t="s">
        <v>700</v>
      </c>
      <c r="M22" s="768" t="s">
        <v>700</v>
      </c>
      <c r="N22" s="768" t="s">
        <v>700</v>
      </c>
      <c r="O22" s="784">
        <v>8767</v>
      </c>
      <c r="P22" s="776">
        <v>29210</v>
      </c>
      <c r="Q22" s="776">
        <v>16620</v>
      </c>
      <c r="R22" s="776">
        <v>12590</v>
      </c>
      <c r="S22" s="751">
        <v>0</v>
      </c>
      <c r="T22" s="738" t="s">
        <v>703</v>
      </c>
      <c r="U22" s="739" t="s">
        <v>704</v>
      </c>
      <c r="V22" s="77"/>
    </row>
    <row r="23" spans="2:22" x14ac:dyDescent="0.2">
      <c r="B23" s="76"/>
      <c r="C23" s="718" t="s">
        <v>179</v>
      </c>
      <c r="D23" s="764" t="s">
        <v>755</v>
      </c>
      <c r="E23" s="742" t="s">
        <v>756</v>
      </c>
      <c r="F23" s="768" t="s">
        <v>230</v>
      </c>
      <c r="G23" s="773" t="s">
        <v>252</v>
      </c>
      <c r="H23" s="741">
        <v>43791</v>
      </c>
      <c r="I23" s="767">
        <v>70937</v>
      </c>
      <c r="J23" s="768" t="s">
        <v>700</v>
      </c>
      <c r="K23" s="768" t="s">
        <v>700</v>
      </c>
      <c r="L23" s="768" t="s">
        <v>700</v>
      </c>
      <c r="M23" s="768" t="s">
        <v>700</v>
      </c>
      <c r="N23" s="768" t="s">
        <v>700</v>
      </c>
      <c r="O23" s="745">
        <v>11705</v>
      </c>
      <c r="P23" s="745">
        <v>28100</v>
      </c>
      <c r="Q23" s="742" t="s">
        <v>700</v>
      </c>
      <c r="R23" s="745">
        <v>28100</v>
      </c>
      <c r="S23" s="745">
        <v>0</v>
      </c>
      <c r="T23" s="748" t="s">
        <v>706</v>
      </c>
      <c r="U23" s="748" t="s">
        <v>707</v>
      </c>
      <c r="V23" s="77"/>
    </row>
    <row r="24" spans="2:22" x14ac:dyDescent="0.2">
      <c r="B24" s="76"/>
      <c r="C24" s="718" t="s">
        <v>179</v>
      </c>
      <c r="D24" s="764" t="s">
        <v>755</v>
      </c>
      <c r="E24" s="742" t="s">
        <v>759</v>
      </c>
      <c r="F24" s="765" t="s">
        <v>230</v>
      </c>
      <c r="G24" s="732" t="s">
        <v>252</v>
      </c>
      <c r="H24" s="741">
        <v>43791</v>
      </c>
      <c r="I24" s="744" t="s">
        <v>700</v>
      </c>
      <c r="J24" s="785" t="s">
        <v>700</v>
      </c>
      <c r="K24" s="785" t="s">
        <v>700</v>
      </c>
      <c r="L24" s="785" t="s">
        <v>700</v>
      </c>
      <c r="M24" s="785" t="s">
        <v>700</v>
      </c>
      <c r="N24" s="768" t="s">
        <v>700</v>
      </c>
      <c r="O24" s="745">
        <v>0</v>
      </c>
      <c r="P24" s="724">
        <v>0</v>
      </c>
      <c r="Q24" s="720" t="s">
        <v>700</v>
      </c>
      <c r="R24" s="724">
        <v>0</v>
      </c>
      <c r="S24" s="725">
        <v>0</v>
      </c>
      <c r="T24" s="747" t="s">
        <v>706</v>
      </c>
      <c r="U24" s="748" t="s">
        <v>707</v>
      </c>
      <c r="V24" s="77"/>
    </row>
    <row r="25" spans="2:22" ht="28.5" x14ac:dyDescent="0.2">
      <c r="B25" s="76"/>
      <c r="C25" s="718" t="s">
        <v>181</v>
      </c>
      <c r="D25" s="754" t="s">
        <v>760</v>
      </c>
      <c r="E25" s="755" t="s">
        <v>702</v>
      </c>
      <c r="F25" s="760" t="s">
        <v>304</v>
      </c>
      <c r="G25" s="732" t="s">
        <v>252</v>
      </c>
      <c r="H25" s="743">
        <v>43617</v>
      </c>
      <c r="I25" s="786">
        <v>69435</v>
      </c>
      <c r="J25" s="773" t="s">
        <v>700</v>
      </c>
      <c r="K25" s="773" t="s">
        <v>700</v>
      </c>
      <c r="L25" s="773" t="s">
        <v>700</v>
      </c>
      <c r="M25" s="773" t="s">
        <v>700</v>
      </c>
      <c r="N25" s="773" t="s">
        <v>700</v>
      </c>
      <c r="O25" s="776">
        <v>31870</v>
      </c>
      <c r="P25" s="776">
        <v>81505</v>
      </c>
      <c r="Q25" s="773" t="s">
        <v>700</v>
      </c>
      <c r="R25" s="776">
        <v>11182</v>
      </c>
      <c r="S25" s="751">
        <v>70323</v>
      </c>
      <c r="T25" s="763" t="s">
        <v>703</v>
      </c>
      <c r="U25" s="739" t="s">
        <v>761</v>
      </c>
      <c r="V25" s="77"/>
    </row>
    <row r="26" spans="2:22" x14ac:dyDescent="0.2">
      <c r="B26" s="76"/>
      <c r="C26" s="718" t="s">
        <v>179</v>
      </c>
      <c r="D26" s="771" t="s">
        <v>762</v>
      </c>
      <c r="E26" s="772" t="s">
        <v>763</v>
      </c>
      <c r="F26" s="778" t="s">
        <v>226</v>
      </c>
      <c r="G26" s="771" t="s">
        <v>252</v>
      </c>
      <c r="H26" s="778" t="s">
        <v>723</v>
      </c>
      <c r="I26" s="771" t="s">
        <v>700</v>
      </c>
      <c r="J26" s="787">
        <v>33200</v>
      </c>
      <c r="K26" s="772" t="s">
        <v>700</v>
      </c>
      <c r="L26" s="772" t="s">
        <v>700</v>
      </c>
      <c r="M26" s="772" t="s">
        <v>700</v>
      </c>
      <c r="N26" s="772" t="s">
        <v>700</v>
      </c>
      <c r="O26" s="775">
        <v>29880</v>
      </c>
      <c r="P26" s="775">
        <v>0</v>
      </c>
      <c r="Q26" s="772" t="s">
        <v>700</v>
      </c>
      <c r="R26" s="775">
        <v>0</v>
      </c>
      <c r="S26" s="779">
        <v>0</v>
      </c>
      <c r="T26" s="780" t="s">
        <v>724</v>
      </c>
      <c r="U26" s="781" t="s">
        <v>725</v>
      </c>
      <c r="V26" s="77"/>
    </row>
    <row r="27" spans="2:22" ht="15.75" x14ac:dyDescent="0.25">
      <c r="B27" s="76"/>
      <c r="C27" s="718" t="s">
        <v>179</v>
      </c>
      <c r="D27" s="754" t="s">
        <v>211</v>
      </c>
      <c r="E27" s="755" t="s">
        <v>765</v>
      </c>
      <c r="F27" s="760" t="s">
        <v>304</v>
      </c>
      <c r="G27" s="732" t="s">
        <v>252</v>
      </c>
      <c r="H27" s="782">
        <v>43228</v>
      </c>
      <c r="I27" s="757">
        <v>15972</v>
      </c>
      <c r="J27" s="755" t="s">
        <v>700</v>
      </c>
      <c r="K27" s="755" t="s">
        <v>700</v>
      </c>
      <c r="L27" s="755" t="s">
        <v>700</v>
      </c>
      <c r="M27" s="755" t="s">
        <v>700</v>
      </c>
      <c r="N27" s="755" t="s">
        <v>700</v>
      </c>
      <c r="O27" s="758">
        <v>1916</v>
      </c>
      <c r="P27" s="776">
        <v>3812</v>
      </c>
      <c r="Q27" s="776">
        <v>1677</v>
      </c>
      <c r="R27" s="776">
        <v>2135</v>
      </c>
      <c r="S27" s="751">
        <v>0</v>
      </c>
      <c r="T27" s="738" t="s">
        <v>703</v>
      </c>
      <c r="U27" s="739" t="s">
        <v>704</v>
      </c>
      <c r="V27" s="77"/>
    </row>
    <row r="28" spans="2:22" x14ac:dyDescent="0.2">
      <c r="B28" s="76"/>
      <c r="C28" s="718" t="s">
        <v>179</v>
      </c>
      <c r="D28" s="754" t="s">
        <v>211</v>
      </c>
      <c r="E28" s="742" t="s">
        <v>230</v>
      </c>
      <c r="F28" s="755" t="s">
        <v>230</v>
      </c>
      <c r="G28" s="755" t="s">
        <v>252</v>
      </c>
      <c r="H28" s="788" t="s">
        <v>747</v>
      </c>
      <c r="I28" s="767">
        <v>31869</v>
      </c>
      <c r="J28" s="755" t="s">
        <v>700</v>
      </c>
      <c r="K28" s="755" t="s">
        <v>700</v>
      </c>
      <c r="L28" s="755" t="s">
        <v>700</v>
      </c>
      <c r="M28" s="755" t="s">
        <v>700</v>
      </c>
      <c r="N28" s="755" t="s">
        <v>700</v>
      </c>
      <c r="O28" s="745">
        <v>5258</v>
      </c>
      <c r="P28" s="745">
        <v>15000</v>
      </c>
      <c r="Q28" s="742" t="s">
        <v>700</v>
      </c>
      <c r="R28" s="745">
        <v>15000</v>
      </c>
      <c r="S28" s="745">
        <v>0</v>
      </c>
      <c r="T28" s="748" t="s">
        <v>706</v>
      </c>
      <c r="U28" s="748" t="s">
        <v>707</v>
      </c>
      <c r="V28" s="77"/>
    </row>
    <row r="29" spans="2:22" ht="15.75" x14ac:dyDescent="0.25">
      <c r="B29" s="76"/>
      <c r="C29" s="718" t="s">
        <v>179</v>
      </c>
      <c r="D29" s="729" t="s">
        <v>772</v>
      </c>
      <c r="E29" s="730" t="s">
        <v>702</v>
      </c>
      <c r="F29" s="730" t="s">
        <v>304</v>
      </c>
      <c r="G29" s="773" t="s">
        <v>252</v>
      </c>
      <c r="H29" s="733">
        <v>43228</v>
      </c>
      <c r="I29" s="734">
        <v>5366</v>
      </c>
      <c r="J29" s="730" t="s">
        <v>700</v>
      </c>
      <c r="K29" s="730" t="s">
        <v>700</v>
      </c>
      <c r="L29" s="730" t="s">
        <v>700</v>
      </c>
      <c r="M29" s="730" t="s">
        <v>700</v>
      </c>
      <c r="N29" s="730" t="s">
        <v>700</v>
      </c>
      <c r="O29" s="736">
        <v>885</v>
      </c>
      <c r="P29" s="776">
        <v>7445</v>
      </c>
      <c r="Q29" s="776">
        <v>6041</v>
      </c>
      <c r="R29" s="776">
        <v>1404</v>
      </c>
      <c r="S29" s="776">
        <v>0</v>
      </c>
      <c r="T29" s="777" t="s">
        <v>703</v>
      </c>
      <c r="U29" s="739" t="s">
        <v>704</v>
      </c>
      <c r="V29" s="77"/>
    </row>
    <row r="30" spans="2:22" x14ac:dyDescent="0.2">
      <c r="B30" s="76"/>
      <c r="C30" s="718" t="s">
        <v>179</v>
      </c>
      <c r="D30" s="729" t="s">
        <v>772</v>
      </c>
      <c r="E30" s="742" t="s">
        <v>732</v>
      </c>
      <c r="F30" s="731" t="s">
        <v>230</v>
      </c>
      <c r="G30" s="732" t="s">
        <v>252</v>
      </c>
      <c r="H30" s="743">
        <v>43791</v>
      </c>
      <c r="I30" s="767">
        <v>65074</v>
      </c>
      <c r="J30" s="735" t="s">
        <v>700</v>
      </c>
      <c r="K30" s="735" t="s">
        <v>700</v>
      </c>
      <c r="L30" s="735" t="s">
        <v>700</v>
      </c>
      <c r="M30" s="735" t="s">
        <v>700</v>
      </c>
      <c r="N30" s="730" t="s">
        <v>700</v>
      </c>
      <c r="O30" s="745">
        <v>10737</v>
      </c>
      <c r="P30" s="724">
        <v>63000</v>
      </c>
      <c r="Q30" s="720" t="s">
        <v>700</v>
      </c>
      <c r="R30" s="724">
        <v>63000</v>
      </c>
      <c r="S30" s="725">
        <v>0</v>
      </c>
      <c r="T30" s="747" t="s">
        <v>706</v>
      </c>
      <c r="U30" s="748" t="s">
        <v>707</v>
      </c>
      <c r="V30" s="77"/>
    </row>
    <row r="31" spans="2:22" x14ac:dyDescent="0.2">
      <c r="B31" s="76"/>
      <c r="C31" s="718" t="s">
        <v>179</v>
      </c>
      <c r="D31" s="729" t="s">
        <v>772</v>
      </c>
      <c r="E31" s="742" t="s">
        <v>737</v>
      </c>
      <c r="F31" s="731" t="s">
        <v>230</v>
      </c>
      <c r="G31" s="732" t="s">
        <v>252</v>
      </c>
      <c r="H31" s="766">
        <v>43791</v>
      </c>
      <c r="I31" s="744" t="s">
        <v>700</v>
      </c>
      <c r="J31" s="730" t="s">
        <v>700</v>
      </c>
      <c r="K31" s="730" t="s">
        <v>700</v>
      </c>
      <c r="L31" s="730" t="s">
        <v>700</v>
      </c>
      <c r="M31" s="730" t="s">
        <v>700</v>
      </c>
      <c r="N31" s="730" t="s">
        <v>700</v>
      </c>
      <c r="O31" s="745">
        <v>0</v>
      </c>
      <c r="P31" s="745">
        <v>0</v>
      </c>
      <c r="Q31" s="742" t="s">
        <v>700</v>
      </c>
      <c r="R31" s="745">
        <v>0</v>
      </c>
      <c r="S31" s="746">
        <v>0</v>
      </c>
      <c r="T31" s="747" t="s">
        <v>706</v>
      </c>
      <c r="U31" s="748" t="s">
        <v>707</v>
      </c>
      <c r="V31" s="77"/>
    </row>
    <row r="32" spans="2:22" x14ac:dyDescent="0.2">
      <c r="B32" s="76"/>
      <c r="C32" s="718" t="s">
        <v>179</v>
      </c>
      <c r="D32" s="729" t="s">
        <v>772</v>
      </c>
      <c r="E32" s="730" t="s">
        <v>773</v>
      </c>
      <c r="F32" s="731" t="s">
        <v>236</v>
      </c>
      <c r="G32" s="729" t="s">
        <v>252</v>
      </c>
      <c r="H32" s="789" t="s">
        <v>774</v>
      </c>
      <c r="I32" s="729" t="s">
        <v>700</v>
      </c>
      <c r="J32" s="750">
        <v>4836</v>
      </c>
      <c r="K32" s="730" t="s">
        <v>700</v>
      </c>
      <c r="L32" s="730" t="s">
        <v>700</v>
      </c>
      <c r="M32" s="730" t="s">
        <v>700</v>
      </c>
      <c r="N32" s="730" t="s">
        <v>700</v>
      </c>
      <c r="O32" s="736">
        <v>4352</v>
      </c>
      <c r="P32" s="730" t="s">
        <v>775</v>
      </c>
      <c r="Q32" s="730" t="s">
        <v>700</v>
      </c>
      <c r="R32" s="730" t="s">
        <v>776</v>
      </c>
      <c r="S32" s="731" t="s">
        <v>775</v>
      </c>
      <c r="T32" s="738" t="s">
        <v>724</v>
      </c>
      <c r="U32" s="777" t="s">
        <v>725</v>
      </c>
      <c r="V32" s="77"/>
    </row>
    <row r="33" spans="2:22" x14ac:dyDescent="0.2">
      <c r="B33" s="76"/>
      <c r="C33" s="718" t="s">
        <v>179</v>
      </c>
      <c r="D33" s="771" t="s">
        <v>762</v>
      </c>
      <c r="E33" s="742" t="s">
        <v>230</v>
      </c>
      <c r="F33" s="778" t="s">
        <v>230</v>
      </c>
      <c r="G33" s="771" t="s">
        <v>764</v>
      </c>
      <c r="H33" s="722" t="s">
        <v>747</v>
      </c>
      <c r="I33" s="767">
        <v>49788</v>
      </c>
      <c r="J33" s="772" t="s">
        <v>700</v>
      </c>
      <c r="K33" s="772" t="s">
        <v>700</v>
      </c>
      <c r="L33" s="772" t="s">
        <v>700</v>
      </c>
      <c r="M33" s="772" t="s">
        <v>700</v>
      </c>
      <c r="N33" s="772" t="s">
        <v>700</v>
      </c>
      <c r="O33" s="745">
        <v>8215</v>
      </c>
      <c r="P33" s="745">
        <v>22500</v>
      </c>
      <c r="Q33" s="742" t="s">
        <v>700</v>
      </c>
      <c r="R33" s="745">
        <v>22500</v>
      </c>
      <c r="S33" s="746">
        <v>0</v>
      </c>
      <c r="T33" s="747" t="s">
        <v>706</v>
      </c>
      <c r="U33" s="748" t="s">
        <v>707</v>
      </c>
      <c r="V33" s="77"/>
    </row>
    <row r="34" spans="2:22" x14ac:dyDescent="0.2">
      <c r="B34" s="76"/>
      <c r="C34" s="718" t="s">
        <v>179</v>
      </c>
      <c r="D34" s="771" t="s">
        <v>741</v>
      </c>
      <c r="E34" s="772" t="s">
        <v>230</v>
      </c>
      <c r="F34" s="778" t="s">
        <v>230</v>
      </c>
      <c r="G34" s="771" t="s">
        <v>746</v>
      </c>
      <c r="H34" s="790" t="s">
        <v>747</v>
      </c>
      <c r="I34" s="774">
        <v>41298</v>
      </c>
      <c r="J34" s="772" t="s">
        <v>700</v>
      </c>
      <c r="K34" s="772" t="s">
        <v>700</v>
      </c>
      <c r="L34" s="772" t="s">
        <v>700</v>
      </c>
      <c r="M34" s="772" t="s">
        <v>700</v>
      </c>
      <c r="N34" s="772" t="s">
        <v>700</v>
      </c>
      <c r="O34" s="775">
        <v>6195</v>
      </c>
      <c r="P34" s="775">
        <v>90695</v>
      </c>
      <c r="Q34" s="772" t="s">
        <v>700</v>
      </c>
      <c r="R34" s="775">
        <v>10325</v>
      </c>
      <c r="S34" s="779">
        <v>80370</v>
      </c>
      <c r="T34" s="780" t="s">
        <v>703</v>
      </c>
      <c r="U34" s="781" t="s">
        <v>748</v>
      </c>
      <c r="V34" s="77"/>
    </row>
    <row r="35" spans="2:22" x14ac:dyDescent="0.2">
      <c r="B35" s="76"/>
      <c r="C35" s="728" t="s">
        <v>179</v>
      </c>
      <c r="D35" s="729" t="s">
        <v>697</v>
      </c>
      <c r="E35" s="730" t="s">
        <v>708</v>
      </c>
      <c r="F35" s="731" t="s">
        <v>709</v>
      </c>
      <c r="G35" s="729" t="s">
        <v>256</v>
      </c>
      <c r="H35" s="731" t="s">
        <v>710</v>
      </c>
      <c r="I35" s="734">
        <v>32757</v>
      </c>
      <c r="J35" s="730" t="s">
        <v>700</v>
      </c>
      <c r="K35" s="730" t="s">
        <v>700</v>
      </c>
      <c r="L35" s="730" t="s">
        <v>700</v>
      </c>
      <c r="M35" s="730" t="s">
        <v>700</v>
      </c>
      <c r="N35" s="730" t="s">
        <v>700</v>
      </c>
      <c r="O35" s="736">
        <v>3931</v>
      </c>
      <c r="P35" s="736">
        <v>1000</v>
      </c>
      <c r="Q35" s="730" t="s">
        <v>700</v>
      </c>
      <c r="R35" s="730" t="s">
        <v>711</v>
      </c>
      <c r="S35" s="753">
        <v>1000</v>
      </c>
      <c r="T35" s="738" t="s">
        <v>703</v>
      </c>
      <c r="U35" s="777" t="s">
        <v>712</v>
      </c>
      <c r="V35" s="77"/>
    </row>
    <row r="36" spans="2:22" ht="28.5" x14ac:dyDescent="0.2">
      <c r="B36" s="76"/>
      <c r="C36" s="718" t="s">
        <v>179</v>
      </c>
      <c r="D36" s="791" t="s">
        <v>697</v>
      </c>
      <c r="E36" s="792" t="s">
        <v>797</v>
      </c>
      <c r="F36" s="793" t="s">
        <v>236</v>
      </c>
      <c r="G36" s="791" t="s">
        <v>256</v>
      </c>
      <c r="H36" s="794" t="s">
        <v>781</v>
      </c>
      <c r="I36" s="795"/>
      <c r="J36" s="796"/>
      <c r="K36" s="796"/>
      <c r="L36" s="796"/>
      <c r="M36" s="796"/>
      <c r="N36" s="796"/>
      <c r="O36" s="797"/>
      <c r="P36" s="797" t="s">
        <v>798</v>
      </c>
      <c r="Q36" s="797"/>
      <c r="R36" s="797"/>
      <c r="S36" s="798"/>
      <c r="T36" s="799"/>
      <c r="U36" s="800"/>
      <c r="V36" s="77"/>
    </row>
    <row r="37" spans="2:22" ht="28.5" x14ac:dyDescent="0.2">
      <c r="B37" s="76"/>
      <c r="C37" s="718" t="s">
        <v>179</v>
      </c>
      <c r="D37" s="791" t="s">
        <v>697</v>
      </c>
      <c r="E37" s="792" t="s">
        <v>786</v>
      </c>
      <c r="F37" s="793" t="s">
        <v>234</v>
      </c>
      <c r="G37" s="791" t="s">
        <v>256</v>
      </c>
      <c r="H37" s="801" t="s">
        <v>781</v>
      </c>
      <c r="I37" s="795"/>
      <c r="J37" s="796"/>
      <c r="K37" s="796"/>
      <c r="L37" s="796"/>
      <c r="M37" s="796"/>
      <c r="N37" s="796"/>
      <c r="O37" s="797"/>
      <c r="P37" s="798">
        <v>20000</v>
      </c>
      <c r="Q37" s="798"/>
      <c r="R37" s="798"/>
      <c r="S37" s="798"/>
      <c r="T37" s="799"/>
      <c r="U37" s="800"/>
      <c r="V37" s="77"/>
    </row>
    <row r="38" spans="2:22" x14ac:dyDescent="0.2">
      <c r="B38" s="76"/>
      <c r="C38" s="718" t="s">
        <v>179</v>
      </c>
      <c r="D38" s="791" t="s">
        <v>697</v>
      </c>
      <c r="E38" s="792" t="s">
        <v>799</v>
      </c>
      <c r="F38" s="793" t="s">
        <v>236</v>
      </c>
      <c r="G38" s="791" t="s">
        <v>256</v>
      </c>
      <c r="H38" s="801" t="s">
        <v>783</v>
      </c>
      <c r="I38" s="795"/>
      <c r="J38" s="802"/>
      <c r="K38" s="802"/>
      <c r="L38" s="802"/>
      <c r="M38" s="802"/>
      <c r="N38" s="796"/>
      <c r="O38" s="797"/>
      <c r="P38" s="803">
        <v>200000</v>
      </c>
      <c r="Q38" s="803"/>
      <c r="R38" s="803"/>
      <c r="S38" s="803"/>
      <c r="T38" s="799"/>
      <c r="U38" s="800"/>
      <c r="V38" s="77"/>
    </row>
    <row r="39" spans="2:22" ht="28.5" x14ac:dyDescent="0.2">
      <c r="B39" s="76"/>
      <c r="C39" s="718" t="s">
        <v>179</v>
      </c>
      <c r="D39" s="791" t="s">
        <v>697</v>
      </c>
      <c r="E39" s="792" t="s">
        <v>786</v>
      </c>
      <c r="F39" s="792" t="s">
        <v>234</v>
      </c>
      <c r="G39" s="792" t="s">
        <v>256</v>
      </c>
      <c r="H39" s="801" t="s">
        <v>783</v>
      </c>
      <c r="I39" s="795"/>
      <c r="J39" s="796"/>
      <c r="K39" s="796"/>
      <c r="L39" s="796"/>
      <c r="M39" s="796"/>
      <c r="N39" s="796"/>
      <c r="O39" s="797"/>
      <c r="P39" s="797">
        <v>15000</v>
      </c>
      <c r="Q39" s="797"/>
      <c r="R39" s="797"/>
      <c r="S39" s="797"/>
      <c r="T39" s="804"/>
      <c r="U39" s="800"/>
      <c r="V39" s="77"/>
    </row>
    <row r="40" spans="2:22" ht="28.5" x14ac:dyDescent="0.2">
      <c r="B40" s="76"/>
      <c r="C40" s="718" t="s">
        <v>179</v>
      </c>
      <c r="D40" s="791" t="s">
        <v>697</v>
      </c>
      <c r="E40" s="792" t="s">
        <v>800</v>
      </c>
      <c r="F40" s="793" t="s">
        <v>236</v>
      </c>
      <c r="G40" s="791" t="s">
        <v>256</v>
      </c>
      <c r="H40" s="805" t="s">
        <v>783</v>
      </c>
      <c r="I40" s="795"/>
      <c r="J40" s="796"/>
      <c r="K40" s="796"/>
      <c r="L40" s="796"/>
      <c r="M40" s="796"/>
      <c r="N40" s="796"/>
      <c r="O40" s="797"/>
      <c r="P40" s="797">
        <v>40000</v>
      </c>
      <c r="Q40" s="797"/>
      <c r="R40" s="797"/>
      <c r="S40" s="798"/>
      <c r="T40" s="799"/>
      <c r="U40" s="800"/>
      <c r="V40" s="77"/>
    </row>
    <row r="41" spans="2:22" ht="28.5" x14ac:dyDescent="0.2">
      <c r="B41" s="76"/>
      <c r="C41" s="718" t="s">
        <v>179</v>
      </c>
      <c r="D41" s="791" t="s">
        <v>697</v>
      </c>
      <c r="E41" s="792" t="s">
        <v>801</v>
      </c>
      <c r="F41" s="793" t="s">
        <v>245</v>
      </c>
      <c r="G41" s="791" t="s">
        <v>256</v>
      </c>
      <c r="H41" s="794" t="s">
        <v>783</v>
      </c>
      <c r="I41" s="795"/>
      <c r="J41" s="796"/>
      <c r="K41" s="796"/>
      <c r="L41" s="796"/>
      <c r="M41" s="796"/>
      <c r="N41" s="796"/>
      <c r="O41" s="797"/>
      <c r="P41" s="797">
        <v>30000</v>
      </c>
      <c r="Q41" s="797"/>
      <c r="R41" s="797"/>
      <c r="S41" s="798"/>
      <c r="T41" s="799"/>
      <c r="U41" s="800"/>
      <c r="V41" s="77"/>
    </row>
    <row r="42" spans="2:22" ht="28.5" x14ac:dyDescent="0.2">
      <c r="B42" s="76"/>
      <c r="C42" s="718" t="s">
        <v>179</v>
      </c>
      <c r="D42" s="791" t="s">
        <v>697</v>
      </c>
      <c r="E42" s="806" t="s">
        <v>802</v>
      </c>
      <c r="F42" s="806" t="s">
        <v>245</v>
      </c>
      <c r="G42" s="806" t="s">
        <v>256</v>
      </c>
      <c r="H42" s="801" t="s">
        <v>796</v>
      </c>
      <c r="I42" s="807"/>
      <c r="J42" s="802"/>
      <c r="K42" s="802"/>
      <c r="L42" s="802"/>
      <c r="M42" s="802"/>
      <c r="N42" s="802"/>
      <c r="O42" s="808"/>
      <c r="P42" s="808">
        <v>200000</v>
      </c>
      <c r="Q42" s="808"/>
      <c r="R42" s="808"/>
      <c r="S42" s="808"/>
      <c r="T42" s="809"/>
      <c r="U42" s="810"/>
      <c r="V42" s="77"/>
    </row>
    <row r="43" spans="2:22" ht="28.5" x14ac:dyDescent="0.2">
      <c r="B43" s="76"/>
      <c r="C43" s="718" t="s">
        <v>179</v>
      </c>
      <c r="D43" s="791" t="s">
        <v>697</v>
      </c>
      <c r="E43" s="792" t="s">
        <v>803</v>
      </c>
      <c r="F43" s="793" t="s">
        <v>245</v>
      </c>
      <c r="G43" s="791" t="s">
        <v>256</v>
      </c>
      <c r="H43" s="801" t="s">
        <v>796</v>
      </c>
      <c r="I43" s="795"/>
      <c r="J43" s="796"/>
      <c r="K43" s="796"/>
      <c r="L43" s="796"/>
      <c r="M43" s="796"/>
      <c r="N43" s="796"/>
      <c r="O43" s="797"/>
      <c r="P43" s="797">
        <v>40000</v>
      </c>
      <c r="Q43" s="797"/>
      <c r="R43" s="797"/>
      <c r="S43" s="798"/>
      <c r="T43" s="799"/>
      <c r="U43" s="800"/>
      <c r="V43" s="77"/>
    </row>
    <row r="44" spans="2:22" x14ac:dyDescent="0.2">
      <c r="B44" s="76"/>
      <c r="C44" s="718" t="s">
        <v>179</v>
      </c>
      <c r="D44" s="791" t="s">
        <v>697</v>
      </c>
      <c r="E44" s="792" t="s">
        <v>804</v>
      </c>
      <c r="F44" s="793" t="s">
        <v>245</v>
      </c>
      <c r="G44" s="791" t="s">
        <v>256</v>
      </c>
      <c r="H44" s="794" t="s">
        <v>793</v>
      </c>
      <c r="I44" s="795"/>
      <c r="J44" s="796"/>
      <c r="K44" s="796"/>
      <c r="L44" s="796"/>
      <c r="M44" s="796"/>
      <c r="N44" s="796"/>
      <c r="O44" s="797"/>
      <c r="P44" s="797">
        <v>300000</v>
      </c>
      <c r="Q44" s="797"/>
      <c r="R44" s="797"/>
      <c r="S44" s="798"/>
      <c r="T44" s="799"/>
      <c r="U44" s="800"/>
      <c r="V44" s="77"/>
    </row>
    <row r="45" spans="2:22" x14ac:dyDescent="0.2">
      <c r="B45" s="76"/>
      <c r="C45" s="728" t="s">
        <v>179</v>
      </c>
      <c r="D45" s="729" t="s">
        <v>697</v>
      </c>
      <c r="E45" s="730" t="s">
        <v>717</v>
      </c>
      <c r="F45" s="730" t="s">
        <v>245</v>
      </c>
      <c r="G45" s="730" t="s">
        <v>256</v>
      </c>
      <c r="H45" s="789" t="s">
        <v>718</v>
      </c>
      <c r="I45" s="734">
        <v>1111</v>
      </c>
      <c r="J45" s="750">
        <v>6212</v>
      </c>
      <c r="K45" s="730" t="s">
        <v>700</v>
      </c>
      <c r="L45" s="730" t="s">
        <v>700</v>
      </c>
      <c r="M45" s="730" t="s">
        <v>700</v>
      </c>
      <c r="N45" s="730" t="s">
        <v>700</v>
      </c>
      <c r="O45" s="736">
        <v>7144</v>
      </c>
      <c r="P45" s="736">
        <v>100000</v>
      </c>
      <c r="Q45" s="730" t="s">
        <v>700</v>
      </c>
      <c r="R45" s="736">
        <v>50000</v>
      </c>
      <c r="S45" s="736">
        <v>50000</v>
      </c>
      <c r="T45" s="777" t="s">
        <v>703</v>
      </c>
      <c r="U45" s="777" t="s">
        <v>719</v>
      </c>
      <c r="V45" s="77"/>
    </row>
    <row r="46" spans="2:22" x14ac:dyDescent="0.2">
      <c r="B46" s="76"/>
      <c r="C46" s="728" t="s">
        <v>179</v>
      </c>
      <c r="D46" s="729" t="s">
        <v>697</v>
      </c>
      <c r="E46" s="730" t="s">
        <v>715</v>
      </c>
      <c r="F46" s="730" t="s">
        <v>234</v>
      </c>
      <c r="G46" s="730" t="s">
        <v>256</v>
      </c>
      <c r="H46" s="789" t="s">
        <v>716</v>
      </c>
      <c r="I46" s="729" t="s">
        <v>700</v>
      </c>
      <c r="J46" s="750">
        <v>1050</v>
      </c>
      <c r="K46" s="730" t="s">
        <v>700</v>
      </c>
      <c r="L46" s="730" t="s">
        <v>700</v>
      </c>
      <c r="M46" s="730" t="s">
        <v>700</v>
      </c>
      <c r="N46" s="730" t="s">
        <v>700</v>
      </c>
      <c r="O46" s="736">
        <v>1202</v>
      </c>
      <c r="P46" s="736">
        <v>8000</v>
      </c>
      <c r="Q46" s="730" t="s">
        <v>700</v>
      </c>
      <c r="R46" s="736">
        <v>4000</v>
      </c>
      <c r="S46" s="736">
        <v>4000</v>
      </c>
      <c r="T46" s="777" t="s">
        <v>703</v>
      </c>
      <c r="U46" s="777" t="s">
        <v>701</v>
      </c>
      <c r="V46" s="77"/>
    </row>
    <row r="47" spans="2:22" x14ac:dyDescent="0.2">
      <c r="B47" s="76"/>
      <c r="C47" s="728" t="s">
        <v>179</v>
      </c>
      <c r="D47" s="729" t="s">
        <v>697</v>
      </c>
      <c r="E47" s="730" t="s">
        <v>698</v>
      </c>
      <c r="F47" s="731" t="s">
        <v>234</v>
      </c>
      <c r="G47" s="729" t="s">
        <v>256</v>
      </c>
      <c r="H47" s="789" t="s">
        <v>699</v>
      </c>
      <c r="I47" s="729" t="s">
        <v>700</v>
      </c>
      <c r="J47" s="730">
        <v>719</v>
      </c>
      <c r="K47" s="730" t="s">
        <v>700</v>
      </c>
      <c r="L47" s="730" t="s">
        <v>700</v>
      </c>
      <c r="M47" s="730" t="s">
        <v>700</v>
      </c>
      <c r="N47" s="730" t="s">
        <v>700</v>
      </c>
      <c r="O47" s="736">
        <v>827</v>
      </c>
      <c r="P47" s="753">
        <v>720</v>
      </c>
      <c r="Q47" s="731" t="s">
        <v>700</v>
      </c>
      <c r="R47" s="753">
        <v>720</v>
      </c>
      <c r="S47" s="753">
        <v>0</v>
      </c>
      <c r="T47" s="738" t="s">
        <v>298</v>
      </c>
      <c r="U47" s="777" t="s">
        <v>701</v>
      </c>
      <c r="V47" s="77"/>
    </row>
    <row r="48" spans="2:22" ht="28.5" x14ac:dyDescent="0.2">
      <c r="B48" s="76"/>
      <c r="C48" s="718" t="s">
        <v>179</v>
      </c>
      <c r="D48" s="791" t="s">
        <v>720</v>
      </c>
      <c r="E48" s="792" t="s">
        <v>828</v>
      </c>
      <c r="F48" s="793" t="s">
        <v>245</v>
      </c>
      <c r="G48" s="791" t="s">
        <v>256</v>
      </c>
      <c r="H48" s="794" t="s">
        <v>796</v>
      </c>
      <c r="I48" s="795"/>
      <c r="J48" s="796"/>
      <c r="K48" s="796"/>
      <c r="L48" s="796"/>
      <c r="M48" s="796"/>
      <c r="N48" s="796"/>
      <c r="O48" s="797"/>
      <c r="P48" s="797">
        <v>12000</v>
      </c>
      <c r="Q48" s="797"/>
      <c r="R48" s="797"/>
      <c r="S48" s="798"/>
      <c r="T48" s="799"/>
      <c r="U48" s="800"/>
      <c r="V48" s="77"/>
    </row>
    <row r="49" spans="2:22" x14ac:dyDescent="0.2">
      <c r="B49" s="76"/>
      <c r="C49" s="728" t="s">
        <v>179</v>
      </c>
      <c r="D49" s="754" t="s">
        <v>720</v>
      </c>
      <c r="E49" s="811" t="s">
        <v>726</v>
      </c>
      <c r="F49" s="760" t="s">
        <v>245</v>
      </c>
      <c r="G49" s="754" t="s">
        <v>256</v>
      </c>
      <c r="H49" s="812" t="s">
        <v>727</v>
      </c>
      <c r="I49" s="754" t="s">
        <v>700</v>
      </c>
      <c r="J49" s="755">
        <v>500</v>
      </c>
      <c r="K49" s="755" t="s">
        <v>700</v>
      </c>
      <c r="L49" s="755" t="s">
        <v>700</v>
      </c>
      <c r="M49" s="755" t="s">
        <v>700</v>
      </c>
      <c r="N49" s="755" t="s">
        <v>700</v>
      </c>
      <c r="O49" s="758">
        <v>450</v>
      </c>
      <c r="P49" s="758">
        <v>5500</v>
      </c>
      <c r="Q49" s="755" t="s">
        <v>700</v>
      </c>
      <c r="R49" s="755" t="s">
        <v>700</v>
      </c>
      <c r="S49" s="762">
        <v>5500</v>
      </c>
      <c r="T49" s="763" t="s">
        <v>724</v>
      </c>
      <c r="U49" s="759" t="s">
        <v>725</v>
      </c>
      <c r="V49" s="77"/>
    </row>
    <row r="50" spans="2:22" ht="28.5" x14ac:dyDescent="0.2">
      <c r="B50" s="76"/>
      <c r="C50" s="718" t="s">
        <v>179</v>
      </c>
      <c r="D50" s="791" t="s">
        <v>730</v>
      </c>
      <c r="E50" s="792" t="s">
        <v>805</v>
      </c>
      <c r="F50" s="793" t="s">
        <v>234</v>
      </c>
      <c r="G50" s="791" t="s">
        <v>256</v>
      </c>
      <c r="H50" s="794" t="s">
        <v>781</v>
      </c>
      <c r="I50" s="795"/>
      <c r="J50" s="796"/>
      <c r="K50" s="796"/>
      <c r="L50" s="796"/>
      <c r="M50" s="796"/>
      <c r="N50" s="796"/>
      <c r="O50" s="797"/>
      <c r="P50" s="797">
        <v>12000</v>
      </c>
      <c r="Q50" s="797"/>
      <c r="R50" s="797"/>
      <c r="S50" s="798"/>
      <c r="T50" s="799"/>
      <c r="U50" s="800"/>
      <c r="V50" s="77"/>
    </row>
    <row r="51" spans="2:22" ht="28.5" x14ac:dyDescent="0.2">
      <c r="B51" s="76"/>
      <c r="C51" s="718" t="s">
        <v>179</v>
      </c>
      <c r="D51" s="791" t="s">
        <v>730</v>
      </c>
      <c r="E51" s="792" t="s">
        <v>786</v>
      </c>
      <c r="F51" s="793" t="s">
        <v>234</v>
      </c>
      <c r="G51" s="791" t="s">
        <v>256</v>
      </c>
      <c r="H51" s="794" t="s">
        <v>806</v>
      </c>
      <c r="I51" s="795"/>
      <c r="J51" s="796"/>
      <c r="K51" s="796"/>
      <c r="L51" s="796"/>
      <c r="M51" s="796"/>
      <c r="N51" s="796"/>
      <c r="O51" s="797"/>
      <c r="P51" s="797">
        <v>20000</v>
      </c>
      <c r="Q51" s="797"/>
      <c r="R51" s="797"/>
      <c r="S51" s="798"/>
      <c r="T51" s="799"/>
      <c r="U51" s="800"/>
      <c r="V51" s="77"/>
    </row>
    <row r="52" spans="2:22" x14ac:dyDescent="0.2">
      <c r="B52" s="76"/>
      <c r="C52" s="728" t="s">
        <v>179</v>
      </c>
      <c r="D52" s="764" t="s">
        <v>730</v>
      </c>
      <c r="E52" s="768" t="s">
        <v>702</v>
      </c>
      <c r="F52" s="765" t="s">
        <v>722</v>
      </c>
      <c r="G52" s="764" t="s">
        <v>256</v>
      </c>
      <c r="H52" s="765" t="s">
        <v>727</v>
      </c>
      <c r="I52" s="783">
        <v>2037</v>
      </c>
      <c r="J52" s="768" t="s">
        <v>700</v>
      </c>
      <c r="K52" s="768" t="s">
        <v>700</v>
      </c>
      <c r="L52" s="768" t="s">
        <v>700</v>
      </c>
      <c r="M52" s="768" t="s">
        <v>700</v>
      </c>
      <c r="N52" s="768" t="s">
        <v>700</v>
      </c>
      <c r="O52" s="784">
        <v>336</v>
      </c>
      <c r="P52" s="784">
        <v>927</v>
      </c>
      <c r="Q52" s="768" t="s">
        <v>700</v>
      </c>
      <c r="R52" s="784">
        <v>509</v>
      </c>
      <c r="S52" s="784">
        <v>418</v>
      </c>
      <c r="T52" s="813" t="s">
        <v>703</v>
      </c>
      <c r="U52" s="813" t="s">
        <v>731</v>
      </c>
      <c r="V52" s="77"/>
    </row>
    <row r="53" spans="2:22" x14ac:dyDescent="0.2">
      <c r="B53" s="76"/>
      <c r="C53" s="728" t="s">
        <v>179</v>
      </c>
      <c r="D53" s="764" t="s">
        <v>730</v>
      </c>
      <c r="E53" s="768" t="s">
        <v>733</v>
      </c>
      <c r="F53" s="765" t="s">
        <v>236</v>
      </c>
      <c r="G53" s="764" t="s">
        <v>256</v>
      </c>
      <c r="H53" s="814" t="s">
        <v>727</v>
      </c>
      <c r="I53" s="764" t="s">
        <v>700</v>
      </c>
      <c r="J53" s="815">
        <v>7710</v>
      </c>
      <c r="K53" s="768" t="s">
        <v>700</v>
      </c>
      <c r="L53" s="768" t="s">
        <v>700</v>
      </c>
      <c r="M53" s="768" t="s">
        <v>700</v>
      </c>
      <c r="N53" s="768" t="s">
        <v>700</v>
      </c>
      <c r="O53" s="784">
        <v>8866</v>
      </c>
      <c r="P53" s="816">
        <v>25000</v>
      </c>
      <c r="Q53" s="765" t="s">
        <v>700</v>
      </c>
      <c r="R53" s="816">
        <v>12500</v>
      </c>
      <c r="S53" s="816">
        <v>12500</v>
      </c>
      <c r="T53" s="817" t="s">
        <v>703</v>
      </c>
      <c r="U53" s="813" t="s">
        <v>734</v>
      </c>
      <c r="V53" s="77"/>
    </row>
    <row r="54" spans="2:22" x14ac:dyDescent="0.2">
      <c r="B54" s="76"/>
      <c r="C54" s="728" t="s">
        <v>179</v>
      </c>
      <c r="D54" s="764" t="s">
        <v>730</v>
      </c>
      <c r="E54" s="768" t="s">
        <v>735</v>
      </c>
      <c r="F54" s="768" t="s">
        <v>234</v>
      </c>
      <c r="G54" s="768" t="s">
        <v>256</v>
      </c>
      <c r="H54" s="814" t="s">
        <v>699</v>
      </c>
      <c r="I54" s="764" t="s">
        <v>700</v>
      </c>
      <c r="J54" s="768">
        <v>522</v>
      </c>
      <c r="K54" s="768" t="s">
        <v>700</v>
      </c>
      <c r="L54" s="768" t="s">
        <v>700</v>
      </c>
      <c r="M54" s="768" t="s">
        <v>700</v>
      </c>
      <c r="N54" s="768" t="s">
        <v>700</v>
      </c>
      <c r="O54" s="784">
        <v>600</v>
      </c>
      <c r="P54" s="784">
        <v>414</v>
      </c>
      <c r="Q54" s="768" t="s">
        <v>700</v>
      </c>
      <c r="R54" s="784">
        <v>414</v>
      </c>
      <c r="S54" s="784">
        <v>0</v>
      </c>
      <c r="T54" s="813" t="s">
        <v>298</v>
      </c>
      <c r="U54" s="813" t="s">
        <v>736</v>
      </c>
      <c r="V54" s="77"/>
    </row>
    <row r="55" spans="2:22" x14ac:dyDescent="0.2">
      <c r="B55" s="76"/>
      <c r="C55" s="718" t="s">
        <v>179</v>
      </c>
      <c r="D55" s="791" t="s">
        <v>779</v>
      </c>
      <c r="E55" s="792" t="s">
        <v>780</v>
      </c>
      <c r="F55" s="792" t="s">
        <v>230</v>
      </c>
      <c r="G55" s="792" t="s">
        <v>256</v>
      </c>
      <c r="H55" s="801" t="s">
        <v>781</v>
      </c>
      <c r="I55" s="795"/>
      <c r="J55" s="796"/>
      <c r="K55" s="796"/>
      <c r="L55" s="796"/>
      <c r="M55" s="796"/>
      <c r="N55" s="796"/>
      <c r="O55" s="797"/>
      <c r="P55" s="797">
        <v>15000</v>
      </c>
      <c r="Q55" s="797"/>
      <c r="R55" s="797"/>
      <c r="S55" s="797"/>
      <c r="T55" s="804"/>
      <c r="U55" s="800"/>
      <c r="V55" s="77"/>
    </row>
    <row r="56" spans="2:22" ht="28.5" x14ac:dyDescent="0.2">
      <c r="B56" s="76"/>
      <c r="C56" s="718" t="s">
        <v>179</v>
      </c>
      <c r="D56" s="791" t="s">
        <v>779</v>
      </c>
      <c r="E56" s="792" t="s">
        <v>782</v>
      </c>
      <c r="F56" s="793" t="s">
        <v>236</v>
      </c>
      <c r="G56" s="791" t="s">
        <v>256</v>
      </c>
      <c r="H56" s="805" t="s">
        <v>783</v>
      </c>
      <c r="I56" s="795"/>
      <c r="J56" s="796"/>
      <c r="K56" s="796"/>
      <c r="L56" s="796"/>
      <c r="M56" s="796"/>
      <c r="N56" s="796"/>
      <c r="O56" s="797"/>
      <c r="P56" s="797">
        <v>10000</v>
      </c>
      <c r="Q56" s="797"/>
      <c r="R56" s="797"/>
      <c r="S56" s="798"/>
      <c r="T56" s="799"/>
      <c r="U56" s="800"/>
      <c r="V56" s="77"/>
    </row>
    <row r="57" spans="2:22" ht="28.5" x14ac:dyDescent="0.2">
      <c r="B57" s="76"/>
      <c r="C57" s="718" t="s">
        <v>179</v>
      </c>
      <c r="D57" s="791" t="s">
        <v>779</v>
      </c>
      <c r="E57" s="792" t="s">
        <v>784</v>
      </c>
      <c r="F57" s="792" t="s">
        <v>245</v>
      </c>
      <c r="G57" s="792" t="s">
        <v>256</v>
      </c>
      <c r="H57" s="801" t="s">
        <v>783</v>
      </c>
      <c r="I57" s="795"/>
      <c r="J57" s="796"/>
      <c r="K57" s="796"/>
      <c r="L57" s="796"/>
      <c r="M57" s="796"/>
      <c r="N57" s="796"/>
      <c r="O57" s="797"/>
      <c r="P57" s="797">
        <v>10</v>
      </c>
      <c r="Q57" s="797"/>
      <c r="R57" s="797"/>
      <c r="S57" s="797"/>
      <c r="T57" s="804"/>
      <c r="U57" s="800"/>
      <c r="V57" s="77"/>
    </row>
    <row r="58" spans="2:22" ht="28.5" x14ac:dyDescent="0.2">
      <c r="B58" s="76"/>
      <c r="C58" s="718" t="s">
        <v>179</v>
      </c>
      <c r="D58" s="818" t="s">
        <v>779</v>
      </c>
      <c r="E58" s="819" t="s">
        <v>785</v>
      </c>
      <c r="F58" s="820" t="s">
        <v>236</v>
      </c>
      <c r="G58" s="820" t="s">
        <v>256</v>
      </c>
      <c r="H58" s="821" t="s">
        <v>783</v>
      </c>
      <c r="I58" s="822"/>
      <c r="J58" s="823"/>
      <c r="K58" s="823"/>
      <c r="L58" s="823"/>
      <c r="M58" s="823"/>
      <c r="N58" s="824"/>
      <c r="O58" s="825"/>
      <c r="P58" s="826">
        <v>20000</v>
      </c>
      <c r="Q58" s="826"/>
      <c r="R58" s="826"/>
      <c r="S58" s="827"/>
      <c r="T58" s="828"/>
      <c r="U58" s="829"/>
      <c r="V58" s="77"/>
    </row>
    <row r="59" spans="2:22" ht="28.5" x14ac:dyDescent="0.2">
      <c r="B59" s="76"/>
      <c r="C59" s="718" t="s">
        <v>179</v>
      </c>
      <c r="D59" s="818" t="s">
        <v>779</v>
      </c>
      <c r="E59" s="819" t="s">
        <v>786</v>
      </c>
      <c r="F59" s="820" t="s">
        <v>234</v>
      </c>
      <c r="G59" s="820" t="s">
        <v>256</v>
      </c>
      <c r="H59" s="821" t="s">
        <v>783</v>
      </c>
      <c r="I59" s="822"/>
      <c r="J59" s="823"/>
      <c r="K59" s="823"/>
      <c r="L59" s="823"/>
      <c r="M59" s="823"/>
      <c r="N59" s="824"/>
      <c r="O59" s="825"/>
      <c r="P59" s="826">
        <v>10000</v>
      </c>
      <c r="Q59" s="826"/>
      <c r="R59" s="826"/>
      <c r="S59" s="827"/>
      <c r="T59" s="828"/>
      <c r="U59" s="829"/>
      <c r="V59" s="77"/>
    </row>
    <row r="60" spans="2:22" ht="28.5" x14ac:dyDescent="0.2">
      <c r="B60" s="76"/>
      <c r="C60" s="718" t="s">
        <v>179</v>
      </c>
      <c r="D60" s="818" t="s">
        <v>779</v>
      </c>
      <c r="E60" s="819" t="s">
        <v>787</v>
      </c>
      <c r="F60" s="820" t="s">
        <v>234</v>
      </c>
      <c r="G60" s="820" t="s">
        <v>256</v>
      </c>
      <c r="H60" s="821" t="s">
        <v>783</v>
      </c>
      <c r="I60" s="822"/>
      <c r="J60" s="823"/>
      <c r="K60" s="823"/>
      <c r="L60" s="823"/>
      <c r="M60" s="823"/>
      <c r="N60" s="824"/>
      <c r="O60" s="825"/>
      <c r="P60" s="826">
        <v>8000</v>
      </c>
      <c r="Q60" s="826"/>
      <c r="R60" s="826"/>
      <c r="S60" s="827"/>
      <c r="T60" s="828"/>
      <c r="U60" s="829"/>
      <c r="V60" s="77"/>
    </row>
    <row r="61" spans="2:22" x14ac:dyDescent="0.2">
      <c r="B61" s="76"/>
      <c r="C61" s="718" t="s">
        <v>179</v>
      </c>
      <c r="D61" s="818" t="s">
        <v>779</v>
      </c>
      <c r="E61" s="819" t="s">
        <v>788</v>
      </c>
      <c r="F61" s="820" t="s">
        <v>245</v>
      </c>
      <c r="G61" s="820" t="s">
        <v>256</v>
      </c>
      <c r="H61" s="821" t="s">
        <v>789</v>
      </c>
      <c r="I61" s="822"/>
      <c r="J61" s="823"/>
      <c r="K61" s="823"/>
      <c r="L61" s="823"/>
      <c r="M61" s="823"/>
      <c r="N61" s="824"/>
      <c r="O61" s="825"/>
      <c r="P61" s="826">
        <v>40000</v>
      </c>
      <c r="Q61" s="826"/>
      <c r="R61" s="826"/>
      <c r="S61" s="827"/>
      <c r="T61" s="828"/>
      <c r="U61" s="829"/>
      <c r="V61" s="77"/>
    </row>
    <row r="62" spans="2:22" x14ac:dyDescent="0.2">
      <c r="B62" s="76"/>
      <c r="C62" s="718" t="s">
        <v>179</v>
      </c>
      <c r="D62" s="818" t="s">
        <v>779</v>
      </c>
      <c r="E62" s="819" t="s">
        <v>790</v>
      </c>
      <c r="F62" s="820" t="s">
        <v>245</v>
      </c>
      <c r="G62" s="820" t="s">
        <v>256</v>
      </c>
      <c r="H62" s="821" t="s">
        <v>789</v>
      </c>
      <c r="I62" s="822"/>
      <c r="J62" s="823"/>
      <c r="K62" s="823"/>
      <c r="L62" s="823"/>
      <c r="M62" s="823"/>
      <c r="N62" s="824"/>
      <c r="O62" s="825"/>
      <c r="P62" s="826">
        <v>50000</v>
      </c>
      <c r="Q62" s="826"/>
      <c r="R62" s="826"/>
      <c r="S62" s="827"/>
      <c r="T62" s="828"/>
      <c r="U62" s="829"/>
      <c r="V62" s="77"/>
    </row>
    <row r="63" spans="2:22" ht="28.5" x14ac:dyDescent="0.2">
      <c r="B63" s="76"/>
      <c r="C63" s="718" t="s">
        <v>179</v>
      </c>
      <c r="D63" s="818" t="s">
        <v>779</v>
      </c>
      <c r="E63" s="819" t="s">
        <v>791</v>
      </c>
      <c r="F63" s="820" t="s">
        <v>245</v>
      </c>
      <c r="G63" s="820" t="s">
        <v>256</v>
      </c>
      <c r="H63" s="821" t="s">
        <v>789</v>
      </c>
      <c r="I63" s="822"/>
      <c r="J63" s="823"/>
      <c r="K63" s="823"/>
      <c r="L63" s="823"/>
      <c r="M63" s="823"/>
      <c r="N63" s="824"/>
      <c r="O63" s="825"/>
      <c r="P63" s="826">
        <v>303000</v>
      </c>
      <c r="Q63" s="826"/>
      <c r="R63" s="826"/>
      <c r="S63" s="827"/>
      <c r="T63" s="828"/>
      <c r="U63" s="829"/>
      <c r="V63" s="77"/>
    </row>
    <row r="64" spans="2:22" ht="28.5" x14ac:dyDescent="0.2">
      <c r="B64" s="76"/>
      <c r="C64" s="718" t="s">
        <v>179</v>
      </c>
      <c r="D64" s="818" t="s">
        <v>779</v>
      </c>
      <c r="E64" s="819" t="s">
        <v>795</v>
      </c>
      <c r="F64" s="820" t="s">
        <v>245</v>
      </c>
      <c r="G64" s="820" t="s">
        <v>256</v>
      </c>
      <c r="H64" s="821" t="s">
        <v>796</v>
      </c>
      <c r="I64" s="822"/>
      <c r="J64" s="823"/>
      <c r="K64" s="823"/>
      <c r="L64" s="823"/>
      <c r="M64" s="823"/>
      <c r="N64" s="824"/>
      <c r="O64" s="825"/>
      <c r="P64" s="826">
        <v>20000</v>
      </c>
      <c r="Q64" s="826"/>
      <c r="R64" s="826"/>
      <c r="S64" s="827"/>
      <c r="T64" s="828"/>
      <c r="U64" s="829"/>
      <c r="V64" s="77"/>
    </row>
    <row r="65" spans="2:22" ht="28.5" x14ac:dyDescent="0.2">
      <c r="B65" s="76"/>
      <c r="C65" s="718" t="s">
        <v>179</v>
      </c>
      <c r="D65" s="818" t="s">
        <v>779</v>
      </c>
      <c r="E65" s="819" t="s">
        <v>792</v>
      </c>
      <c r="F65" s="820" t="s">
        <v>245</v>
      </c>
      <c r="G65" s="820" t="s">
        <v>256</v>
      </c>
      <c r="H65" s="821" t="s">
        <v>793</v>
      </c>
      <c r="I65" s="822"/>
      <c r="J65" s="823"/>
      <c r="K65" s="823"/>
      <c r="L65" s="823"/>
      <c r="M65" s="823"/>
      <c r="N65" s="824"/>
      <c r="O65" s="825"/>
      <c r="P65" s="826">
        <v>200000</v>
      </c>
      <c r="Q65" s="826"/>
      <c r="R65" s="826"/>
      <c r="S65" s="827"/>
      <c r="T65" s="828"/>
      <c r="U65" s="829"/>
      <c r="V65" s="77"/>
    </row>
    <row r="66" spans="2:22" x14ac:dyDescent="0.2">
      <c r="B66" s="76"/>
      <c r="C66" s="718" t="s">
        <v>179</v>
      </c>
      <c r="D66" s="818" t="s">
        <v>779</v>
      </c>
      <c r="E66" s="819" t="s">
        <v>794</v>
      </c>
      <c r="F66" s="820" t="s">
        <v>236</v>
      </c>
      <c r="G66" s="820" t="s">
        <v>256</v>
      </c>
      <c r="H66" s="821" t="s">
        <v>793</v>
      </c>
      <c r="I66" s="822"/>
      <c r="J66" s="823"/>
      <c r="K66" s="823"/>
      <c r="L66" s="823"/>
      <c r="M66" s="823"/>
      <c r="N66" s="824"/>
      <c r="O66" s="825"/>
      <c r="P66" s="826">
        <v>100000</v>
      </c>
      <c r="Q66" s="826"/>
      <c r="R66" s="826"/>
      <c r="S66" s="827"/>
      <c r="T66" s="828"/>
      <c r="U66" s="829"/>
      <c r="V66" s="77"/>
    </row>
    <row r="67" spans="2:22" ht="28.5" x14ac:dyDescent="0.2">
      <c r="B67" s="76"/>
      <c r="C67" s="718" t="s">
        <v>179</v>
      </c>
      <c r="D67" s="818" t="s">
        <v>829</v>
      </c>
      <c r="E67" s="819" t="s">
        <v>830</v>
      </c>
      <c r="F67" s="820" t="s">
        <v>245</v>
      </c>
      <c r="G67" s="820" t="s">
        <v>256</v>
      </c>
      <c r="H67" s="821" t="s">
        <v>783</v>
      </c>
      <c r="I67" s="822"/>
      <c r="J67" s="823"/>
      <c r="K67" s="823"/>
      <c r="L67" s="823"/>
      <c r="M67" s="823"/>
      <c r="N67" s="824"/>
      <c r="O67" s="825"/>
      <c r="P67" s="826">
        <v>70000</v>
      </c>
      <c r="Q67" s="826"/>
      <c r="R67" s="826"/>
      <c r="S67" s="827"/>
      <c r="T67" s="828"/>
      <c r="U67" s="829"/>
      <c r="V67" s="77"/>
    </row>
    <row r="68" spans="2:22" ht="28.5" x14ac:dyDescent="0.2">
      <c r="B68" s="76"/>
      <c r="C68" s="718" t="s">
        <v>179</v>
      </c>
      <c r="D68" s="818" t="s">
        <v>829</v>
      </c>
      <c r="E68" s="819" t="s">
        <v>831</v>
      </c>
      <c r="F68" s="820" t="s">
        <v>245</v>
      </c>
      <c r="G68" s="820" t="s">
        <v>256</v>
      </c>
      <c r="H68" s="821" t="s">
        <v>783</v>
      </c>
      <c r="I68" s="822"/>
      <c r="J68" s="823"/>
      <c r="K68" s="823"/>
      <c r="L68" s="823"/>
      <c r="M68" s="823"/>
      <c r="N68" s="824"/>
      <c r="O68" s="825"/>
      <c r="P68" s="826">
        <v>60000</v>
      </c>
      <c r="Q68" s="826"/>
      <c r="R68" s="826"/>
      <c r="S68" s="827"/>
      <c r="T68" s="828"/>
      <c r="U68" s="829"/>
      <c r="V68" s="77"/>
    </row>
    <row r="69" spans="2:22" ht="28.5" x14ac:dyDescent="0.2">
      <c r="B69" s="76"/>
      <c r="C69" s="718" t="s">
        <v>179</v>
      </c>
      <c r="D69" s="818" t="s">
        <v>829</v>
      </c>
      <c r="E69" s="819" t="s">
        <v>832</v>
      </c>
      <c r="F69" s="820" t="s">
        <v>245</v>
      </c>
      <c r="G69" s="820" t="s">
        <v>256</v>
      </c>
      <c r="H69" s="821" t="s">
        <v>789</v>
      </c>
      <c r="I69" s="822"/>
      <c r="J69" s="823"/>
      <c r="K69" s="823"/>
      <c r="L69" s="823"/>
      <c r="M69" s="823"/>
      <c r="N69" s="824"/>
      <c r="O69" s="825"/>
      <c r="P69" s="826">
        <v>20000</v>
      </c>
      <c r="Q69" s="826"/>
      <c r="R69" s="826"/>
      <c r="S69" s="827"/>
      <c r="T69" s="828"/>
      <c r="U69" s="829"/>
      <c r="V69" s="77"/>
    </row>
    <row r="70" spans="2:22" ht="28.5" x14ac:dyDescent="0.2">
      <c r="B70" s="76"/>
      <c r="C70" s="718" t="s">
        <v>179</v>
      </c>
      <c r="D70" s="818" t="s">
        <v>829</v>
      </c>
      <c r="E70" s="819" t="s">
        <v>833</v>
      </c>
      <c r="F70" s="820" t="s">
        <v>226</v>
      </c>
      <c r="G70" s="820" t="s">
        <v>256</v>
      </c>
      <c r="H70" s="821" t="s">
        <v>796</v>
      </c>
      <c r="I70" s="822"/>
      <c r="J70" s="823"/>
      <c r="K70" s="823"/>
      <c r="L70" s="823"/>
      <c r="M70" s="823"/>
      <c r="N70" s="824"/>
      <c r="O70" s="825"/>
      <c r="P70" s="826">
        <v>10000</v>
      </c>
      <c r="Q70" s="826"/>
      <c r="R70" s="826"/>
      <c r="S70" s="827"/>
      <c r="T70" s="828"/>
      <c r="U70" s="829"/>
      <c r="V70" s="77"/>
    </row>
    <row r="71" spans="2:22" x14ac:dyDescent="0.2">
      <c r="B71" s="76"/>
      <c r="C71" s="728" t="s">
        <v>179</v>
      </c>
      <c r="D71" s="830" t="s">
        <v>738</v>
      </c>
      <c r="E71" s="831" t="s">
        <v>6</v>
      </c>
      <c r="F71" s="832" t="s">
        <v>242</v>
      </c>
      <c r="G71" s="832" t="s">
        <v>256</v>
      </c>
      <c r="H71" s="833" t="s">
        <v>739</v>
      </c>
      <c r="I71" s="834">
        <v>13917</v>
      </c>
      <c r="J71" s="835">
        <v>2959</v>
      </c>
      <c r="K71" s="836" t="s">
        <v>700</v>
      </c>
      <c r="L71" s="836" t="s">
        <v>700</v>
      </c>
      <c r="M71" s="836" t="s">
        <v>700</v>
      </c>
      <c r="N71" s="831" t="s">
        <v>700</v>
      </c>
      <c r="O71" s="837">
        <v>5908</v>
      </c>
      <c r="P71" s="838">
        <v>50000</v>
      </c>
      <c r="Q71" s="836" t="s">
        <v>700</v>
      </c>
      <c r="R71" s="838">
        <v>5221</v>
      </c>
      <c r="S71" s="839">
        <v>44779</v>
      </c>
      <c r="T71" s="840" t="s">
        <v>703</v>
      </c>
      <c r="U71" s="841" t="s">
        <v>736</v>
      </c>
      <c r="V71" s="77"/>
    </row>
    <row r="72" spans="2:22" x14ac:dyDescent="0.2">
      <c r="B72" s="76"/>
      <c r="C72" s="728" t="s">
        <v>179</v>
      </c>
      <c r="D72" s="830" t="s">
        <v>738</v>
      </c>
      <c r="E72" s="831" t="s">
        <v>708</v>
      </c>
      <c r="F72" s="832" t="s">
        <v>709</v>
      </c>
      <c r="G72" s="832" t="s">
        <v>256</v>
      </c>
      <c r="H72" s="833" t="s">
        <v>710</v>
      </c>
      <c r="I72" s="834">
        <v>72649</v>
      </c>
      <c r="J72" s="836" t="s">
        <v>700</v>
      </c>
      <c r="K72" s="836" t="s">
        <v>700</v>
      </c>
      <c r="L72" s="836" t="s">
        <v>700</v>
      </c>
      <c r="M72" s="836" t="s">
        <v>700</v>
      </c>
      <c r="N72" s="831" t="s">
        <v>700</v>
      </c>
      <c r="O72" s="837">
        <v>8718</v>
      </c>
      <c r="P72" s="838">
        <v>1000</v>
      </c>
      <c r="Q72" s="836" t="s">
        <v>700</v>
      </c>
      <c r="R72" s="836" t="s">
        <v>711</v>
      </c>
      <c r="S72" s="839">
        <v>1000</v>
      </c>
      <c r="T72" s="840" t="s">
        <v>703</v>
      </c>
      <c r="U72" s="841" t="s">
        <v>712</v>
      </c>
      <c r="V72" s="77"/>
    </row>
    <row r="73" spans="2:22" x14ac:dyDescent="0.2">
      <c r="B73" s="76"/>
      <c r="C73" s="728" t="s">
        <v>179</v>
      </c>
      <c r="D73" s="830" t="s">
        <v>738</v>
      </c>
      <c r="E73" s="831" t="s">
        <v>698</v>
      </c>
      <c r="F73" s="832" t="s">
        <v>234</v>
      </c>
      <c r="G73" s="832" t="s">
        <v>256</v>
      </c>
      <c r="H73" s="833" t="s">
        <v>699</v>
      </c>
      <c r="I73" s="833" t="s">
        <v>700</v>
      </c>
      <c r="J73" s="835">
        <v>1052</v>
      </c>
      <c r="K73" s="836" t="s">
        <v>700</v>
      </c>
      <c r="L73" s="836" t="s">
        <v>700</v>
      </c>
      <c r="M73" s="836" t="s">
        <v>700</v>
      </c>
      <c r="N73" s="831" t="s">
        <v>700</v>
      </c>
      <c r="O73" s="837">
        <v>1209</v>
      </c>
      <c r="P73" s="838">
        <v>1114</v>
      </c>
      <c r="Q73" s="836" t="s">
        <v>700</v>
      </c>
      <c r="R73" s="838">
        <v>1114</v>
      </c>
      <c r="S73" s="839">
        <v>0</v>
      </c>
      <c r="T73" s="840" t="s">
        <v>298</v>
      </c>
      <c r="U73" s="841" t="s">
        <v>736</v>
      </c>
      <c r="V73" s="77"/>
    </row>
    <row r="74" spans="2:22" x14ac:dyDescent="0.2">
      <c r="B74" s="76"/>
      <c r="C74" s="718" t="s">
        <v>179</v>
      </c>
      <c r="D74" s="842" t="s">
        <v>741</v>
      </c>
      <c r="E74" s="843" t="s">
        <v>6</v>
      </c>
      <c r="F74" s="844" t="s">
        <v>749</v>
      </c>
      <c r="G74" s="844" t="s">
        <v>256</v>
      </c>
      <c r="H74" s="833" t="s">
        <v>750</v>
      </c>
      <c r="I74" s="845">
        <v>2605</v>
      </c>
      <c r="J74" s="846">
        <v>213</v>
      </c>
      <c r="K74" s="846" t="s">
        <v>700</v>
      </c>
      <c r="L74" s="846" t="s">
        <v>700</v>
      </c>
      <c r="M74" s="846" t="s">
        <v>700</v>
      </c>
      <c r="N74" s="843" t="s">
        <v>700</v>
      </c>
      <c r="O74" s="847">
        <v>685</v>
      </c>
      <c r="P74" s="848">
        <v>50000</v>
      </c>
      <c r="Q74" s="846" t="s">
        <v>700</v>
      </c>
      <c r="R74" s="848">
        <v>9600</v>
      </c>
      <c r="S74" s="849">
        <v>40400</v>
      </c>
      <c r="T74" s="850" t="s">
        <v>703</v>
      </c>
      <c r="U74" s="851" t="s">
        <v>736</v>
      </c>
      <c r="V74" s="77"/>
    </row>
    <row r="75" spans="2:22" x14ac:dyDescent="0.2">
      <c r="B75" s="76"/>
      <c r="C75" s="718" t="s">
        <v>179</v>
      </c>
      <c r="D75" s="842" t="s">
        <v>741</v>
      </c>
      <c r="E75" s="843" t="s">
        <v>744</v>
      </c>
      <c r="F75" s="844" t="s">
        <v>245</v>
      </c>
      <c r="G75" s="844" t="s">
        <v>256</v>
      </c>
      <c r="H75" s="833" t="s">
        <v>727</v>
      </c>
      <c r="I75" s="852">
        <v>521</v>
      </c>
      <c r="J75" s="846">
        <v>381</v>
      </c>
      <c r="K75" s="846" t="s">
        <v>700</v>
      </c>
      <c r="L75" s="846" t="s">
        <v>700</v>
      </c>
      <c r="M75" s="846" t="s">
        <v>700</v>
      </c>
      <c r="N75" s="843" t="s">
        <v>700</v>
      </c>
      <c r="O75" s="847">
        <v>380</v>
      </c>
      <c r="P75" s="848">
        <v>3500</v>
      </c>
      <c r="Q75" s="846" t="s">
        <v>700</v>
      </c>
      <c r="R75" s="848">
        <v>1750</v>
      </c>
      <c r="S75" s="849">
        <v>1750</v>
      </c>
      <c r="T75" s="850" t="s">
        <v>724</v>
      </c>
      <c r="U75" s="851" t="s">
        <v>745</v>
      </c>
      <c r="V75" s="77"/>
    </row>
    <row r="76" spans="2:22" x14ac:dyDescent="0.2">
      <c r="B76" s="76"/>
      <c r="C76" s="718" t="s">
        <v>179</v>
      </c>
      <c r="D76" s="842" t="s">
        <v>741</v>
      </c>
      <c r="E76" s="843" t="s">
        <v>752</v>
      </c>
      <c r="F76" s="844" t="s">
        <v>245</v>
      </c>
      <c r="G76" s="844" t="s">
        <v>256</v>
      </c>
      <c r="H76" s="833" t="s">
        <v>727</v>
      </c>
      <c r="I76" s="852">
        <v>73</v>
      </c>
      <c r="J76" s="846">
        <v>86</v>
      </c>
      <c r="K76" s="846" t="s">
        <v>700</v>
      </c>
      <c r="L76" s="846" t="s">
        <v>700</v>
      </c>
      <c r="M76" s="846" t="s">
        <v>700</v>
      </c>
      <c r="N76" s="843" t="s">
        <v>700</v>
      </c>
      <c r="O76" s="847">
        <v>86</v>
      </c>
      <c r="P76" s="848">
        <v>2500</v>
      </c>
      <c r="Q76" s="846" t="s">
        <v>700</v>
      </c>
      <c r="R76" s="848">
        <v>0</v>
      </c>
      <c r="S76" s="849">
        <v>2500</v>
      </c>
      <c r="T76" s="850" t="s">
        <v>703</v>
      </c>
      <c r="U76" s="851" t="s">
        <v>745</v>
      </c>
      <c r="V76" s="77"/>
    </row>
    <row r="77" spans="2:22" x14ac:dyDescent="0.2">
      <c r="B77" s="76"/>
      <c r="C77" s="718" t="s">
        <v>179</v>
      </c>
      <c r="D77" s="842" t="s">
        <v>741</v>
      </c>
      <c r="E77" s="843" t="s">
        <v>751</v>
      </c>
      <c r="F77" s="844" t="s">
        <v>234</v>
      </c>
      <c r="G77" s="844" t="s">
        <v>256</v>
      </c>
      <c r="H77" s="833" t="s">
        <v>699</v>
      </c>
      <c r="I77" s="845">
        <v>3984</v>
      </c>
      <c r="J77" s="846" t="s">
        <v>700</v>
      </c>
      <c r="K77" s="846" t="s">
        <v>700</v>
      </c>
      <c r="L77" s="846" t="s">
        <v>700</v>
      </c>
      <c r="M77" s="846" t="s">
        <v>700</v>
      </c>
      <c r="N77" s="843" t="s">
        <v>700</v>
      </c>
      <c r="O77" s="847">
        <v>637</v>
      </c>
      <c r="P77" s="848">
        <v>88</v>
      </c>
      <c r="Q77" s="846" t="s">
        <v>700</v>
      </c>
      <c r="R77" s="848">
        <v>0</v>
      </c>
      <c r="S77" s="849">
        <v>88</v>
      </c>
      <c r="T77" s="850" t="s">
        <v>703</v>
      </c>
      <c r="U77" s="851" t="s">
        <v>736</v>
      </c>
      <c r="V77" s="77"/>
    </row>
    <row r="78" spans="2:22" x14ac:dyDescent="0.2">
      <c r="B78" s="76"/>
      <c r="C78" s="718" t="s">
        <v>179</v>
      </c>
      <c r="D78" s="842" t="s">
        <v>741</v>
      </c>
      <c r="E78" s="843" t="s">
        <v>753</v>
      </c>
      <c r="F78" s="844" t="s">
        <v>236</v>
      </c>
      <c r="G78" s="844" t="s">
        <v>256</v>
      </c>
      <c r="H78" s="833" t="s">
        <v>699</v>
      </c>
      <c r="I78" s="852" t="s">
        <v>700</v>
      </c>
      <c r="J78" s="846">
        <v>46</v>
      </c>
      <c r="K78" s="846" t="s">
        <v>700</v>
      </c>
      <c r="L78" s="846" t="s">
        <v>700</v>
      </c>
      <c r="M78" s="846" t="s">
        <v>700</v>
      </c>
      <c r="N78" s="843" t="s">
        <v>700</v>
      </c>
      <c r="O78" s="847">
        <v>46</v>
      </c>
      <c r="P78" s="848">
        <v>600</v>
      </c>
      <c r="Q78" s="846" t="s">
        <v>700</v>
      </c>
      <c r="R78" s="846" t="s">
        <v>700</v>
      </c>
      <c r="S78" s="849">
        <v>600</v>
      </c>
      <c r="T78" s="850" t="s">
        <v>703</v>
      </c>
      <c r="U78" s="851" t="s">
        <v>745</v>
      </c>
      <c r="V78" s="77"/>
    </row>
    <row r="79" spans="2:22" ht="28.5" x14ac:dyDescent="0.2">
      <c r="B79" s="76"/>
      <c r="C79" s="718" t="s">
        <v>179</v>
      </c>
      <c r="D79" s="818" t="s">
        <v>755</v>
      </c>
      <c r="E79" s="819" t="s">
        <v>816</v>
      </c>
      <c r="F79" s="820" t="s">
        <v>304</v>
      </c>
      <c r="G79" s="820" t="s">
        <v>256</v>
      </c>
      <c r="H79" s="821" t="s">
        <v>781</v>
      </c>
      <c r="I79" s="822"/>
      <c r="J79" s="823"/>
      <c r="K79" s="823"/>
      <c r="L79" s="823"/>
      <c r="M79" s="823"/>
      <c r="N79" s="824"/>
      <c r="O79" s="825"/>
      <c r="P79" s="826">
        <v>15000</v>
      </c>
      <c r="Q79" s="826"/>
      <c r="R79" s="826"/>
      <c r="S79" s="827"/>
      <c r="T79" s="828"/>
      <c r="U79" s="829"/>
      <c r="V79" s="77"/>
    </row>
    <row r="80" spans="2:22" ht="28.5" x14ac:dyDescent="0.2">
      <c r="B80" s="76"/>
      <c r="C80" s="718" t="s">
        <v>179</v>
      </c>
      <c r="D80" s="818" t="s">
        <v>755</v>
      </c>
      <c r="E80" s="819" t="s">
        <v>817</v>
      </c>
      <c r="F80" s="820"/>
      <c r="G80" s="820" t="s">
        <v>256</v>
      </c>
      <c r="H80" s="821" t="s">
        <v>783</v>
      </c>
      <c r="I80" s="822"/>
      <c r="J80" s="823"/>
      <c r="K80" s="823"/>
      <c r="L80" s="823"/>
      <c r="M80" s="823"/>
      <c r="N80" s="824"/>
      <c r="O80" s="825"/>
      <c r="P80" s="826">
        <v>45000</v>
      </c>
      <c r="Q80" s="826"/>
      <c r="R80" s="826"/>
      <c r="S80" s="827"/>
      <c r="T80" s="828"/>
      <c r="U80" s="829"/>
      <c r="V80" s="77"/>
    </row>
    <row r="81" spans="2:22" ht="28.5" x14ac:dyDescent="0.2">
      <c r="B81" s="76"/>
      <c r="C81" s="718" t="s">
        <v>179</v>
      </c>
      <c r="D81" s="818" t="s">
        <v>755</v>
      </c>
      <c r="E81" s="819" t="s">
        <v>818</v>
      </c>
      <c r="F81" s="820" t="s">
        <v>226</v>
      </c>
      <c r="G81" s="820" t="s">
        <v>256</v>
      </c>
      <c r="H81" s="821" t="s">
        <v>783</v>
      </c>
      <c r="I81" s="822"/>
      <c r="J81" s="823"/>
      <c r="K81" s="823"/>
      <c r="L81" s="823"/>
      <c r="M81" s="823"/>
      <c r="N81" s="824"/>
      <c r="O81" s="825"/>
      <c r="P81" s="826">
        <v>10000</v>
      </c>
      <c r="Q81" s="826"/>
      <c r="R81" s="826"/>
      <c r="S81" s="827"/>
      <c r="T81" s="828"/>
      <c r="U81" s="829"/>
      <c r="V81" s="77"/>
    </row>
    <row r="82" spans="2:22" ht="28.5" x14ac:dyDescent="0.2">
      <c r="B82" s="76"/>
      <c r="C82" s="718" t="s">
        <v>179</v>
      </c>
      <c r="D82" s="818" t="s">
        <v>755</v>
      </c>
      <c r="E82" s="819" t="s">
        <v>797</v>
      </c>
      <c r="F82" s="820" t="s">
        <v>236</v>
      </c>
      <c r="G82" s="820" t="s">
        <v>256</v>
      </c>
      <c r="H82" s="821" t="s">
        <v>783</v>
      </c>
      <c r="I82" s="822"/>
      <c r="J82" s="823"/>
      <c r="K82" s="823"/>
      <c r="L82" s="823"/>
      <c r="M82" s="823"/>
      <c r="N82" s="824"/>
      <c r="O82" s="825"/>
      <c r="P82" s="826">
        <v>10000</v>
      </c>
      <c r="Q82" s="826"/>
      <c r="R82" s="826"/>
      <c r="S82" s="827"/>
      <c r="T82" s="828"/>
      <c r="U82" s="829"/>
      <c r="V82" s="77"/>
    </row>
    <row r="83" spans="2:22" ht="28.5" x14ac:dyDescent="0.2">
      <c r="B83" s="76"/>
      <c r="C83" s="718" t="s">
        <v>179</v>
      </c>
      <c r="D83" s="818" t="s">
        <v>755</v>
      </c>
      <c r="E83" s="819" t="s">
        <v>819</v>
      </c>
      <c r="F83" s="820" t="s">
        <v>236</v>
      </c>
      <c r="G83" s="820" t="s">
        <v>256</v>
      </c>
      <c r="H83" s="821" t="s">
        <v>783</v>
      </c>
      <c r="I83" s="822"/>
      <c r="J83" s="823"/>
      <c r="K83" s="823"/>
      <c r="L83" s="823"/>
      <c r="M83" s="823"/>
      <c r="N83" s="824"/>
      <c r="O83" s="825"/>
      <c r="P83" s="826">
        <v>120000</v>
      </c>
      <c r="Q83" s="826"/>
      <c r="R83" s="826"/>
      <c r="S83" s="827"/>
      <c r="T83" s="828"/>
      <c r="U83" s="829"/>
      <c r="V83" s="77"/>
    </row>
    <row r="84" spans="2:22" ht="28.5" x14ac:dyDescent="0.2">
      <c r="B84" s="76"/>
      <c r="C84" s="718" t="s">
        <v>179</v>
      </c>
      <c r="D84" s="818" t="s">
        <v>755</v>
      </c>
      <c r="E84" s="819" t="s">
        <v>797</v>
      </c>
      <c r="F84" s="820" t="s">
        <v>236</v>
      </c>
      <c r="G84" s="820" t="s">
        <v>256</v>
      </c>
      <c r="H84" s="821" t="s">
        <v>783</v>
      </c>
      <c r="I84" s="822"/>
      <c r="J84" s="823"/>
      <c r="K84" s="823"/>
      <c r="L84" s="823"/>
      <c r="M84" s="823"/>
      <c r="N84" s="824"/>
      <c r="O84" s="825"/>
      <c r="P84" s="826">
        <v>10000</v>
      </c>
      <c r="Q84" s="826"/>
      <c r="R84" s="826"/>
      <c r="S84" s="827"/>
      <c r="T84" s="828"/>
      <c r="U84" s="829"/>
      <c r="V84" s="77"/>
    </row>
    <row r="85" spans="2:22" x14ac:dyDescent="0.2">
      <c r="B85" s="76"/>
      <c r="C85" s="718" t="s">
        <v>179</v>
      </c>
      <c r="D85" s="853" t="s">
        <v>755</v>
      </c>
      <c r="E85" s="854" t="s">
        <v>735</v>
      </c>
      <c r="F85" s="855" t="s">
        <v>234</v>
      </c>
      <c r="G85" s="855" t="s">
        <v>256</v>
      </c>
      <c r="H85" s="833" t="s">
        <v>699</v>
      </c>
      <c r="I85" s="856" t="s">
        <v>700</v>
      </c>
      <c r="J85" s="857">
        <v>539</v>
      </c>
      <c r="K85" s="857" t="s">
        <v>700</v>
      </c>
      <c r="L85" s="857" t="s">
        <v>700</v>
      </c>
      <c r="M85" s="857" t="s">
        <v>700</v>
      </c>
      <c r="N85" s="854" t="s">
        <v>700</v>
      </c>
      <c r="O85" s="858">
        <v>620</v>
      </c>
      <c r="P85" s="859">
        <v>425</v>
      </c>
      <c r="Q85" s="857" t="s">
        <v>700</v>
      </c>
      <c r="R85" s="859">
        <v>425</v>
      </c>
      <c r="S85" s="860">
        <v>0</v>
      </c>
      <c r="T85" s="861" t="s">
        <v>298</v>
      </c>
      <c r="U85" s="862" t="s">
        <v>736</v>
      </c>
      <c r="V85" s="77"/>
    </row>
    <row r="86" spans="2:22" x14ac:dyDescent="0.2">
      <c r="B86" s="76"/>
      <c r="C86" s="718" t="s">
        <v>179</v>
      </c>
      <c r="D86" s="853" t="s">
        <v>755</v>
      </c>
      <c r="E86" s="854" t="s">
        <v>6</v>
      </c>
      <c r="F86" s="855" t="s">
        <v>757</v>
      </c>
      <c r="G86" s="855" t="s">
        <v>256</v>
      </c>
      <c r="H86" s="833" t="s">
        <v>758</v>
      </c>
      <c r="I86" s="863">
        <v>6127</v>
      </c>
      <c r="J86" s="864">
        <v>1520</v>
      </c>
      <c r="K86" s="857" t="s">
        <v>700</v>
      </c>
      <c r="L86" s="857" t="s">
        <v>700</v>
      </c>
      <c r="M86" s="857" t="s">
        <v>700</v>
      </c>
      <c r="N86" s="854" t="s">
        <v>700</v>
      </c>
      <c r="O86" s="858">
        <v>2850</v>
      </c>
      <c r="P86" s="859">
        <v>100000</v>
      </c>
      <c r="Q86" s="857" t="s">
        <v>700</v>
      </c>
      <c r="R86" s="859">
        <v>9759</v>
      </c>
      <c r="S86" s="860">
        <v>90241</v>
      </c>
      <c r="T86" s="861" t="s">
        <v>703</v>
      </c>
      <c r="U86" s="862" t="s">
        <v>736</v>
      </c>
      <c r="V86" s="77"/>
    </row>
    <row r="87" spans="2:22" x14ac:dyDescent="0.2">
      <c r="B87" s="76"/>
      <c r="C87" s="718" t="s">
        <v>179</v>
      </c>
      <c r="D87" s="865" t="s">
        <v>211</v>
      </c>
      <c r="E87" s="866" t="s">
        <v>6</v>
      </c>
      <c r="F87" s="867" t="s">
        <v>242</v>
      </c>
      <c r="G87" s="867" t="s">
        <v>256</v>
      </c>
      <c r="H87" s="833" t="s">
        <v>766</v>
      </c>
      <c r="I87" s="868">
        <v>3212</v>
      </c>
      <c r="J87" s="869">
        <v>212</v>
      </c>
      <c r="K87" s="869" t="s">
        <v>700</v>
      </c>
      <c r="L87" s="869" t="s">
        <v>700</v>
      </c>
      <c r="M87" s="869" t="s">
        <v>700</v>
      </c>
      <c r="N87" s="866" t="s">
        <v>700</v>
      </c>
      <c r="O87" s="870">
        <v>758</v>
      </c>
      <c r="P87" s="871">
        <v>15000</v>
      </c>
      <c r="Q87" s="869" t="s">
        <v>700</v>
      </c>
      <c r="R87" s="871">
        <v>640</v>
      </c>
      <c r="S87" s="872">
        <v>14360</v>
      </c>
      <c r="T87" s="873" t="s">
        <v>703</v>
      </c>
      <c r="U87" s="874" t="s">
        <v>736</v>
      </c>
      <c r="V87" s="77"/>
    </row>
    <row r="88" spans="2:22" ht="28.5" x14ac:dyDescent="0.2">
      <c r="B88" s="76"/>
      <c r="C88" s="718" t="s">
        <v>179</v>
      </c>
      <c r="D88" s="818" t="s">
        <v>211</v>
      </c>
      <c r="E88" s="819" t="s">
        <v>820</v>
      </c>
      <c r="F88" s="820" t="s">
        <v>245</v>
      </c>
      <c r="G88" s="820" t="s">
        <v>256</v>
      </c>
      <c r="H88" s="821" t="s">
        <v>781</v>
      </c>
      <c r="I88" s="822"/>
      <c r="J88" s="823"/>
      <c r="K88" s="823"/>
      <c r="L88" s="823"/>
      <c r="M88" s="823"/>
      <c r="N88" s="824"/>
      <c r="O88" s="825"/>
      <c r="P88" s="826">
        <v>120000</v>
      </c>
      <c r="Q88" s="826"/>
      <c r="R88" s="826"/>
      <c r="S88" s="827"/>
      <c r="T88" s="828"/>
      <c r="U88" s="829"/>
      <c r="V88" s="77"/>
    </row>
    <row r="89" spans="2:22" x14ac:dyDescent="0.2">
      <c r="B89" s="76"/>
      <c r="C89" s="718" t="s">
        <v>179</v>
      </c>
      <c r="D89" s="818" t="s">
        <v>211</v>
      </c>
      <c r="E89" s="819" t="s">
        <v>821</v>
      </c>
      <c r="F89" s="820" t="s">
        <v>245</v>
      </c>
      <c r="G89" s="820" t="s">
        <v>256</v>
      </c>
      <c r="H89" s="821" t="s">
        <v>781</v>
      </c>
      <c r="I89" s="822"/>
      <c r="J89" s="823"/>
      <c r="K89" s="823"/>
      <c r="L89" s="823"/>
      <c r="M89" s="823"/>
      <c r="N89" s="824"/>
      <c r="O89" s="825"/>
      <c r="P89" s="826">
        <v>20000</v>
      </c>
      <c r="Q89" s="826"/>
      <c r="R89" s="826"/>
      <c r="S89" s="827"/>
      <c r="T89" s="828"/>
      <c r="U89" s="829"/>
      <c r="V89" s="77"/>
    </row>
    <row r="90" spans="2:22" ht="28.5" x14ac:dyDescent="0.2">
      <c r="B90" s="76"/>
      <c r="C90" s="718" t="s">
        <v>179</v>
      </c>
      <c r="D90" s="818" t="s">
        <v>211</v>
      </c>
      <c r="E90" s="819" t="s">
        <v>807</v>
      </c>
      <c r="F90" s="820" t="s">
        <v>236</v>
      </c>
      <c r="G90" s="820" t="s">
        <v>256</v>
      </c>
      <c r="H90" s="821" t="s">
        <v>783</v>
      </c>
      <c r="I90" s="822"/>
      <c r="J90" s="823"/>
      <c r="K90" s="823"/>
      <c r="L90" s="823"/>
      <c r="M90" s="823"/>
      <c r="N90" s="824"/>
      <c r="O90" s="825"/>
      <c r="P90" s="826">
        <v>9000</v>
      </c>
      <c r="Q90" s="826"/>
      <c r="R90" s="826"/>
      <c r="S90" s="827"/>
      <c r="T90" s="828"/>
      <c r="U90" s="829"/>
      <c r="V90" s="77"/>
    </row>
    <row r="91" spans="2:22" ht="28.5" x14ac:dyDescent="0.2">
      <c r="B91" s="76"/>
      <c r="C91" s="718" t="s">
        <v>179</v>
      </c>
      <c r="D91" s="818" t="s">
        <v>822</v>
      </c>
      <c r="E91" s="819" t="s">
        <v>823</v>
      </c>
      <c r="F91" s="820" t="s">
        <v>236</v>
      </c>
      <c r="G91" s="820" t="s">
        <v>256</v>
      </c>
      <c r="H91" s="821" t="s">
        <v>783</v>
      </c>
      <c r="I91" s="822"/>
      <c r="J91" s="823"/>
      <c r="K91" s="823"/>
      <c r="L91" s="823"/>
      <c r="M91" s="823"/>
      <c r="N91" s="824"/>
      <c r="O91" s="825"/>
      <c r="P91" s="826">
        <v>2000</v>
      </c>
      <c r="Q91" s="826"/>
      <c r="R91" s="826"/>
      <c r="S91" s="827"/>
      <c r="T91" s="828"/>
      <c r="U91" s="829"/>
      <c r="V91" s="77"/>
    </row>
    <row r="92" spans="2:22" ht="28.5" x14ac:dyDescent="0.2">
      <c r="B92" s="76"/>
      <c r="C92" s="718" t="s">
        <v>179</v>
      </c>
      <c r="D92" s="818" t="s">
        <v>822</v>
      </c>
      <c r="E92" s="819" t="s">
        <v>824</v>
      </c>
      <c r="F92" s="820" t="s">
        <v>234</v>
      </c>
      <c r="G92" s="820" t="s">
        <v>256</v>
      </c>
      <c r="H92" s="821" t="s">
        <v>789</v>
      </c>
      <c r="I92" s="822"/>
      <c r="J92" s="823"/>
      <c r="K92" s="823"/>
      <c r="L92" s="823"/>
      <c r="M92" s="823"/>
      <c r="N92" s="824"/>
      <c r="O92" s="825"/>
      <c r="P92" s="826">
        <v>8000</v>
      </c>
      <c r="Q92" s="826"/>
      <c r="R92" s="826"/>
      <c r="S92" s="827"/>
      <c r="T92" s="828"/>
      <c r="U92" s="829"/>
      <c r="V92" s="77"/>
    </row>
    <row r="93" spans="2:22" ht="28.5" x14ac:dyDescent="0.2">
      <c r="B93" s="76"/>
      <c r="C93" s="718" t="s">
        <v>179</v>
      </c>
      <c r="D93" s="818" t="s">
        <v>822</v>
      </c>
      <c r="E93" s="819" t="s">
        <v>825</v>
      </c>
      <c r="F93" s="820" t="s">
        <v>236</v>
      </c>
      <c r="G93" s="820" t="s">
        <v>256</v>
      </c>
      <c r="H93" s="821" t="s">
        <v>796</v>
      </c>
      <c r="I93" s="822"/>
      <c r="J93" s="823"/>
      <c r="K93" s="823"/>
      <c r="L93" s="823"/>
      <c r="M93" s="823"/>
      <c r="N93" s="824"/>
      <c r="O93" s="825"/>
      <c r="P93" s="826">
        <v>10000</v>
      </c>
      <c r="Q93" s="826"/>
      <c r="R93" s="826"/>
      <c r="S93" s="827"/>
      <c r="T93" s="828"/>
      <c r="U93" s="829"/>
      <c r="V93" s="77"/>
    </row>
    <row r="94" spans="2:22" x14ac:dyDescent="0.2">
      <c r="B94" s="76"/>
      <c r="C94" s="718" t="s">
        <v>179</v>
      </c>
      <c r="D94" s="818" t="s">
        <v>822</v>
      </c>
      <c r="E94" s="819" t="s">
        <v>826</v>
      </c>
      <c r="F94" s="820" t="s">
        <v>236</v>
      </c>
      <c r="G94" s="820" t="s">
        <v>256</v>
      </c>
      <c r="H94" s="821" t="s">
        <v>796</v>
      </c>
      <c r="I94" s="822"/>
      <c r="J94" s="823"/>
      <c r="K94" s="823"/>
      <c r="L94" s="823"/>
      <c r="M94" s="823"/>
      <c r="N94" s="824"/>
      <c r="O94" s="825"/>
      <c r="P94" s="826">
        <v>5000</v>
      </c>
      <c r="Q94" s="826"/>
      <c r="R94" s="826"/>
      <c r="S94" s="827"/>
      <c r="T94" s="828"/>
      <c r="U94" s="829"/>
      <c r="V94" s="77"/>
    </row>
    <row r="95" spans="2:22" ht="28.5" x14ac:dyDescent="0.2">
      <c r="B95" s="76"/>
      <c r="C95" s="718" t="s">
        <v>179</v>
      </c>
      <c r="D95" s="818" t="s">
        <v>822</v>
      </c>
      <c r="E95" s="819" t="s">
        <v>827</v>
      </c>
      <c r="F95" s="820" t="s">
        <v>245</v>
      </c>
      <c r="G95" s="820" t="s">
        <v>256</v>
      </c>
      <c r="H95" s="821" t="s">
        <v>793</v>
      </c>
      <c r="I95" s="822"/>
      <c r="J95" s="823"/>
      <c r="K95" s="823"/>
      <c r="L95" s="823"/>
      <c r="M95" s="823"/>
      <c r="N95" s="824"/>
      <c r="O95" s="825"/>
      <c r="P95" s="826">
        <v>40000</v>
      </c>
      <c r="Q95" s="826"/>
      <c r="R95" s="826"/>
      <c r="S95" s="827"/>
      <c r="T95" s="828"/>
      <c r="U95" s="829"/>
      <c r="V95" s="77"/>
    </row>
    <row r="96" spans="2:22" x14ac:dyDescent="0.2">
      <c r="B96" s="76"/>
      <c r="C96" s="718" t="s">
        <v>179</v>
      </c>
      <c r="D96" s="865" t="s">
        <v>211</v>
      </c>
      <c r="E96" s="866" t="s">
        <v>751</v>
      </c>
      <c r="F96" s="867" t="s">
        <v>234</v>
      </c>
      <c r="G96" s="867" t="s">
        <v>256</v>
      </c>
      <c r="H96" s="875" t="s">
        <v>727</v>
      </c>
      <c r="I96" s="868">
        <v>5976</v>
      </c>
      <c r="J96" s="869" t="s">
        <v>700</v>
      </c>
      <c r="K96" s="869" t="s">
        <v>700</v>
      </c>
      <c r="L96" s="869" t="s">
        <v>700</v>
      </c>
      <c r="M96" s="869" t="s">
        <v>700</v>
      </c>
      <c r="N96" s="866" t="s">
        <v>700</v>
      </c>
      <c r="O96" s="870">
        <v>956</v>
      </c>
      <c r="P96" s="871">
        <v>132</v>
      </c>
      <c r="Q96" s="869" t="s">
        <v>700</v>
      </c>
      <c r="R96" s="871">
        <v>0</v>
      </c>
      <c r="S96" s="872">
        <v>132</v>
      </c>
      <c r="T96" s="873" t="s">
        <v>703</v>
      </c>
      <c r="U96" s="874" t="s">
        <v>736</v>
      </c>
      <c r="V96" s="77"/>
    </row>
    <row r="97" spans="2:22" x14ac:dyDescent="0.2">
      <c r="B97" s="76"/>
      <c r="C97" s="718" t="s">
        <v>182</v>
      </c>
      <c r="D97" s="842" t="s">
        <v>182</v>
      </c>
      <c r="E97" s="843" t="s">
        <v>767</v>
      </c>
      <c r="F97" s="844" t="s">
        <v>182</v>
      </c>
      <c r="G97" s="844" t="s">
        <v>256</v>
      </c>
      <c r="H97" s="833" t="s">
        <v>766</v>
      </c>
      <c r="I97" s="852" t="s">
        <v>700</v>
      </c>
      <c r="J97" s="846" t="s">
        <v>700</v>
      </c>
      <c r="K97" s="846" t="s">
        <v>700</v>
      </c>
      <c r="L97" s="846" t="s">
        <v>700</v>
      </c>
      <c r="M97" s="876">
        <v>1000</v>
      </c>
      <c r="N97" s="877">
        <v>1000</v>
      </c>
      <c r="O97" s="847">
        <v>3500</v>
      </c>
      <c r="P97" s="846" t="s">
        <v>700</v>
      </c>
      <c r="Q97" s="846" t="s">
        <v>700</v>
      </c>
      <c r="R97" s="846" t="s">
        <v>700</v>
      </c>
      <c r="S97" s="849">
        <v>0</v>
      </c>
      <c r="T97" s="850" t="s">
        <v>298</v>
      </c>
      <c r="U97" s="851" t="s">
        <v>725</v>
      </c>
      <c r="V97" s="77"/>
    </row>
    <row r="98" spans="2:22" x14ac:dyDescent="0.2">
      <c r="B98" s="76"/>
      <c r="C98" s="718" t="s">
        <v>182</v>
      </c>
      <c r="D98" s="842" t="s">
        <v>182</v>
      </c>
      <c r="E98" s="843" t="s">
        <v>768</v>
      </c>
      <c r="F98" s="844" t="s">
        <v>182</v>
      </c>
      <c r="G98" s="844" t="s">
        <v>256</v>
      </c>
      <c r="H98" s="833" t="s">
        <v>769</v>
      </c>
      <c r="I98" s="850" t="s">
        <v>700</v>
      </c>
      <c r="J98" s="846" t="s">
        <v>700</v>
      </c>
      <c r="K98" s="846" t="s">
        <v>700</v>
      </c>
      <c r="L98" s="846" t="s">
        <v>700</v>
      </c>
      <c r="M98" s="876">
        <v>2380</v>
      </c>
      <c r="N98" s="877">
        <v>3140</v>
      </c>
      <c r="O98" s="852" t="s">
        <v>770</v>
      </c>
      <c r="P98" s="846" t="s">
        <v>770</v>
      </c>
      <c r="Q98" s="846" t="s">
        <v>700</v>
      </c>
      <c r="R98" s="848">
        <v>0</v>
      </c>
      <c r="S98" s="843" t="s">
        <v>770</v>
      </c>
      <c r="T98" s="850" t="s">
        <v>703</v>
      </c>
      <c r="U98" s="851" t="s">
        <v>771</v>
      </c>
      <c r="V98" s="77"/>
    </row>
    <row r="99" spans="2:22" ht="28.5" x14ac:dyDescent="0.2">
      <c r="B99" s="76"/>
      <c r="C99" s="718" t="s">
        <v>179</v>
      </c>
      <c r="D99" s="818" t="s">
        <v>772</v>
      </c>
      <c r="E99" s="819" t="s">
        <v>805</v>
      </c>
      <c r="F99" s="820" t="s">
        <v>234</v>
      </c>
      <c r="G99" s="820" t="s">
        <v>256</v>
      </c>
      <c r="H99" s="821" t="s">
        <v>781</v>
      </c>
      <c r="I99" s="822"/>
      <c r="J99" s="823"/>
      <c r="K99" s="823"/>
      <c r="L99" s="823"/>
      <c r="M99" s="823"/>
      <c r="N99" s="824"/>
      <c r="O99" s="825"/>
      <c r="P99" s="826">
        <v>110000</v>
      </c>
      <c r="Q99" s="826"/>
      <c r="R99" s="826"/>
      <c r="S99" s="827"/>
      <c r="T99" s="828"/>
      <c r="U99" s="829"/>
      <c r="V99" s="77"/>
    </row>
    <row r="100" spans="2:22" ht="28.5" x14ac:dyDescent="0.2">
      <c r="B100" s="76"/>
      <c r="C100" s="718" t="s">
        <v>179</v>
      </c>
      <c r="D100" s="818" t="s">
        <v>772</v>
      </c>
      <c r="E100" s="819" t="s">
        <v>807</v>
      </c>
      <c r="F100" s="820" t="s">
        <v>808</v>
      </c>
      <c r="G100" s="820" t="s">
        <v>256</v>
      </c>
      <c r="H100" s="821" t="s">
        <v>809</v>
      </c>
      <c r="I100" s="822"/>
      <c r="J100" s="823"/>
      <c r="K100" s="823"/>
      <c r="L100" s="823"/>
      <c r="M100" s="823"/>
      <c r="N100" s="824"/>
      <c r="O100" s="825"/>
      <c r="P100" s="826">
        <v>70000</v>
      </c>
      <c r="Q100" s="826"/>
      <c r="R100" s="826"/>
      <c r="S100" s="827"/>
      <c r="T100" s="828"/>
      <c r="U100" s="829"/>
      <c r="V100" s="77"/>
    </row>
    <row r="101" spans="2:22" ht="28.5" x14ac:dyDescent="0.2">
      <c r="B101" s="76"/>
      <c r="C101" s="718" t="s">
        <v>179</v>
      </c>
      <c r="D101" s="818" t="s">
        <v>772</v>
      </c>
      <c r="E101" s="819" t="s">
        <v>786</v>
      </c>
      <c r="F101" s="820" t="s">
        <v>234</v>
      </c>
      <c r="G101" s="820" t="s">
        <v>256</v>
      </c>
      <c r="H101" s="821" t="s">
        <v>781</v>
      </c>
      <c r="I101" s="822"/>
      <c r="J101" s="823"/>
      <c r="K101" s="823"/>
      <c r="L101" s="823"/>
      <c r="M101" s="823"/>
      <c r="N101" s="824"/>
      <c r="O101" s="825"/>
      <c r="P101" s="826">
        <v>50000</v>
      </c>
      <c r="Q101" s="826"/>
      <c r="R101" s="826"/>
      <c r="S101" s="827"/>
      <c r="T101" s="828"/>
      <c r="U101" s="829"/>
      <c r="V101" s="77"/>
    </row>
    <row r="102" spans="2:22" ht="28.5" x14ac:dyDescent="0.2">
      <c r="B102" s="76"/>
      <c r="C102" s="718" t="s">
        <v>179</v>
      </c>
      <c r="D102" s="818" t="s">
        <v>772</v>
      </c>
      <c r="E102" s="819" t="s">
        <v>810</v>
      </c>
      <c r="F102" s="820" t="s">
        <v>236</v>
      </c>
      <c r="G102" s="820" t="s">
        <v>256</v>
      </c>
      <c r="H102" s="821" t="s">
        <v>781</v>
      </c>
      <c r="I102" s="822"/>
      <c r="J102" s="823"/>
      <c r="K102" s="823"/>
      <c r="L102" s="823"/>
      <c r="M102" s="823"/>
      <c r="N102" s="824"/>
      <c r="O102" s="825"/>
      <c r="P102" s="826">
        <v>25000</v>
      </c>
      <c r="Q102" s="826"/>
      <c r="R102" s="826"/>
      <c r="S102" s="827"/>
      <c r="T102" s="828"/>
      <c r="U102" s="829"/>
      <c r="V102" s="77"/>
    </row>
    <row r="103" spans="2:22" x14ac:dyDescent="0.2">
      <c r="B103" s="76"/>
      <c r="C103" s="718" t="s">
        <v>179</v>
      </c>
      <c r="D103" s="818" t="s">
        <v>772</v>
      </c>
      <c r="E103" s="819" t="s">
        <v>811</v>
      </c>
      <c r="F103" s="820" t="s">
        <v>249</v>
      </c>
      <c r="G103" s="820" t="s">
        <v>256</v>
      </c>
      <c r="H103" s="821" t="s">
        <v>812</v>
      </c>
      <c r="I103" s="822"/>
      <c r="J103" s="823"/>
      <c r="K103" s="823"/>
      <c r="L103" s="823"/>
      <c r="M103" s="823"/>
      <c r="N103" s="824"/>
      <c r="O103" s="825"/>
      <c r="P103" s="826">
        <v>40000</v>
      </c>
      <c r="Q103" s="826"/>
      <c r="R103" s="826"/>
      <c r="S103" s="827"/>
      <c r="T103" s="828"/>
      <c r="U103" s="829"/>
      <c r="V103" s="77"/>
    </row>
    <row r="104" spans="2:22" ht="28.5" x14ac:dyDescent="0.2">
      <c r="B104" s="76"/>
      <c r="C104" s="718" t="s">
        <v>179</v>
      </c>
      <c r="D104" s="818" t="s">
        <v>772</v>
      </c>
      <c r="E104" s="819" t="s">
        <v>813</v>
      </c>
      <c r="F104" s="820" t="s">
        <v>814</v>
      </c>
      <c r="G104" s="820" t="s">
        <v>256</v>
      </c>
      <c r="H104" s="821" t="s">
        <v>789</v>
      </c>
      <c r="I104" s="822"/>
      <c r="J104" s="823"/>
      <c r="K104" s="823"/>
      <c r="L104" s="823"/>
      <c r="M104" s="823"/>
      <c r="N104" s="824"/>
      <c r="O104" s="825"/>
      <c r="P104" s="826">
        <v>30000</v>
      </c>
      <c r="Q104" s="826"/>
      <c r="R104" s="826"/>
      <c r="S104" s="827"/>
      <c r="T104" s="828"/>
      <c r="U104" s="829"/>
      <c r="V104" s="77"/>
    </row>
    <row r="105" spans="2:22" ht="28.5" x14ac:dyDescent="0.2">
      <c r="B105" s="76"/>
      <c r="C105" s="718" t="s">
        <v>179</v>
      </c>
      <c r="D105" s="818" t="s">
        <v>772</v>
      </c>
      <c r="E105" s="819" t="s">
        <v>815</v>
      </c>
      <c r="F105" s="820" t="s">
        <v>226</v>
      </c>
      <c r="G105" s="820" t="s">
        <v>256</v>
      </c>
      <c r="H105" s="821" t="s">
        <v>793</v>
      </c>
      <c r="I105" s="822"/>
      <c r="J105" s="823"/>
      <c r="K105" s="823"/>
      <c r="L105" s="823"/>
      <c r="M105" s="823"/>
      <c r="N105" s="824"/>
      <c r="O105" s="825"/>
      <c r="P105" s="826">
        <v>100000</v>
      </c>
      <c r="Q105" s="826"/>
      <c r="R105" s="826"/>
      <c r="S105" s="827"/>
      <c r="T105" s="828"/>
      <c r="U105" s="829"/>
      <c r="V105" s="77"/>
    </row>
    <row r="106" spans="2:22" x14ac:dyDescent="0.2">
      <c r="B106" s="76"/>
      <c r="C106" s="718" t="s">
        <v>179</v>
      </c>
      <c r="D106" s="830" t="s">
        <v>772</v>
      </c>
      <c r="E106" s="831" t="s">
        <v>735</v>
      </c>
      <c r="F106" s="832" t="s">
        <v>234</v>
      </c>
      <c r="G106" s="832" t="s">
        <v>256</v>
      </c>
      <c r="H106" s="833" t="s">
        <v>699</v>
      </c>
      <c r="I106" s="833" t="s">
        <v>700</v>
      </c>
      <c r="J106" s="836">
        <v>454</v>
      </c>
      <c r="K106" s="836" t="s">
        <v>700</v>
      </c>
      <c r="L106" s="836" t="s">
        <v>700</v>
      </c>
      <c r="M106" s="836" t="s">
        <v>700</v>
      </c>
      <c r="N106" s="831" t="s">
        <v>700</v>
      </c>
      <c r="O106" s="837">
        <v>522</v>
      </c>
      <c r="P106" s="838">
        <v>370</v>
      </c>
      <c r="Q106" s="836" t="s">
        <v>700</v>
      </c>
      <c r="R106" s="838">
        <v>370</v>
      </c>
      <c r="S106" s="839">
        <v>0</v>
      </c>
      <c r="T106" s="840" t="s">
        <v>298</v>
      </c>
      <c r="U106" s="841" t="s">
        <v>736</v>
      </c>
      <c r="V106" s="77"/>
    </row>
    <row r="107" spans="2:22" x14ac:dyDescent="0.2">
      <c r="B107" s="76"/>
      <c r="C107" s="325"/>
      <c r="D107" s="204"/>
      <c r="E107" s="196"/>
      <c r="F107" s="195"/>
      <c r="G107" s="195"/>
      <c r="H107" s="568"/>
      <c r="I107" s="569"/>
      <c r="J107" s="197"/>
      <c r="K107" s="197"/>
      <c r="L107" s="197"/>
      <c r="M107" s="197"/>
      <c r="N107" s="198"/>
      <c r="O107" s="570"/>
      <c r="P107" s="199"/>
      <c r="Q107" s="199"/>
      <c r="R107" s="199"/>
      <c r="S107" s="200"/>
      <c r="T107" s="571"/>
      <c r="U107" s="205"/>
      <c r="V107" s="77"/>
    </row>
    <row r="108" spans="2:22" ht="57.75" thickBot="1" x14ac:dyDescent="0.25">
      <c r="B108" s="76"/>
      <c r="C108" s="204" t="s">
        <v>117</v>
      </c>
      <c r="D108" s="204" t="s">
        <v>117</v>
      </c>
      <c r="E108" s="196"/>
      <c r="F108" s="195"/>
      <c r="G108" s="195"/>
      <c r="H108" s="568"/>
      <c r="I108" s="569"/>
      <c r="J108" s="197"/>
      <c r="K108" s="197"/>
      <c r="L108" s="197"/>
      <c r="M108" s="197"/>
      <c r="N108" s="198"/>
      <c r="O108" s="570"/>
      <c r="P108" s="199"/>
      <c r="Q108" s="199"/>
      <c r="R108" s="199"/>
      <c r="S108" s="200"/>
      <c r="T108" s="571"/>
      <c r="U108" s="205"/>
      <c r="V108" s="77"/>
    </row>
    <row r="109" spans="2:22" ht="41.25" customHeight="1" thickBot="1" x14ac:dyDescent="0.3">
      <c r="B109" s="76"/>
      <c r="C109" s="76"/>
      <c r="E109" s="221"/>
      <c r="F109" s="221"/>
      <c r="G109" s="222"/>
      <c r="H109" s="223" t="s">
        <v>286</v>
      </c>
      <c r="I109" s="203">
        <f t="shared" ref="I109:S109" si="0">SUM(I8:I108)</f>
        <v>1173281</v>
      </c>
      <c r="J109" s="203">
        <f t="shared" si="0"/>
        <v>64965</v>
      </c>
      <c r="K109" s="203">
        <f t="shared" si="0"/>
        <v>0</v>
      </c>
      <c r="L109" s="203">
        <f t="shared" si="0"/>
        <v>0</v>
      </c>
      <c r="M109" s="203">
        <f t="shared" si="0"/>
        <v>3380</v>
      </c>
      <c r="N109" s="203">
        <f t="shared" si="0"/>
        <v>4140</v>
      </c>
      <c r="O109" s="203">
        <f t="shared" si="0"/>
        <v>275752</v>
      </c>
      <c r="P109" s="203">
        <f t="shared" si="0"/>
        <v>3692307</v>
      </c>
      <c r="Q109" s="203">
        <f t="shared" si="0"/>
        <v>146238</v>
      </c>
      <c r="R109" s="203">
        <f t="shared" si="0"/>
        <v>473766</v>
      </c>
      <c r="S109" s="203">
        <f t="shared" si="0"/>
        <v>476250</v>
      </c>
      <c r="T109" s="87"/>
      <c r="U109" s="88"/>
      <c r="V109" s="77"/>
    </row>
    <row r="110" spans="2:22" ht="34.5" customHeight="1" thickBot="1" x14ac:dyDescent="0.3">
      <c r="B110" s="76"/>
      <c r="C110" s="76"/>
      <c r="D110" s="1010" t="s">
        <v>287</v>
      </c>
      <c r="E110" s="1011"/>
      <c r="F110" s="1012"/>
      <c r="G110" s="224">
        <f>SUM(I110:N110)</f>
        <v>11494.314772000002</v>
      </c>
      <c r="H110" s="190"/>
      <c r="I110" s="190">
        <f>I109*0.003412</f>
        <v>4003.2347720000002</v>
      </c>
      <c r="J110" s="191">
        <f>J109*0.1</f>
        <v>6496.5</v>
      </c>
      <c r="K110" s="191">
        <f>K109*0.139</f>
        <v>0</v>
      </c>
      <c r="L110" s="191">
        <f>L109*0.091</f>
        <v>0</v>
      </c>
      <c r="M110" s="191">
        <f>M109*0.124</f>
        <v>419.12</v>
      </c>
      <c r="N110" s="192">
        <f>N109*0.139</f>
        <v>575.46</v>
      </c>
      <c r="O110" s="89"/>
      <c r="P110" s="88"/>
      <c r="Q110" s="88"/>
      <c r="R110" s="88"/>
      <c r="S110" s="88"/>
      <c r="T110" s="90"/>
      <c r="U110" s="88"/>
      <c r="V110" s="77"/>
    </row>
    <row r="111" spans="2:22" ht="15" thickBot="1" x14ac:dyDescent="0.25">
      <c r="B111" s="91"/>
      <c r="C111" s="92"/>
      <c r="D111" s="92"/>
      <c r="E111" s="92"/>
      <c r="F111" s="92"/>
      <c r="G111" s="92"/>
      <c r="H111" s="92"/>
      <c r="I111" s="92"/>
      <c r="J111" s="92"/>
      <c r="K111" s="92"/>
      <c r="L111" s="92"/>
      <c r="M111" s="92"/>
      <c r="N111" s="92"/>
      <c r="O111" s="92"/>
      <c r="P111" s="92"/>
      <c r="Q111" s="92"/>
      <c r="R111" s="92"/>
      <c r="S111" s="92"/>
      <c r="T111" s="93"/>
      <c r="U111" s="92"/>
      <c r="V111" s="94"/>
    </row>
    <row r="112" spans="2:22" x14ac:dyDescent="0.2"/>
    <row r="113" x14ac:dyDescent="0.2"/>
    <row r="114" x14ac:dyDescent="0.2"/>
    <row r="115" x14ac:dyDescent="0.2"/>
    <row r="116" x14ac:dyDescent="0.2"/>
    <row r="117" x14ac:dyDescent="0.2"/>
    <row r="118" x14ac:dyDescent="0.2"/>
    <row r="119" x14ac:dyDescent="0.2"/>
    <row r="120" x14ac:dyDescent="0.2"/>
    <row r="121" x14ac:dyDescent="0.2"/>
    <row r="122" x14ac:dyDescent="0.2"/>
    <row r="123" x14ac:dyDescent="0.2"/>
    <row r="124" x14ac:dyDescent="0.2"/>
    <row r="125" x14ac:dyDescent="0.2"/>
    <row r="126" x14ac:dyDescent="0.2"/>
    <row r="127" x14ac:dyDescent="0.2"/>
    <row r="128" x14ac:dyDescent="0.2"/>
    <row r="129" x14ac:dyDescent="0.2"/>
    <row r="130" x14ac:dyDescent="0.2"/>
    <row r="131" x14ac:dyDescent="0.2"/>
    <row r="132" x14ac:dyDescent="0.2"/>
  </sheetData>
  <sheetProtection algorithmName="SHA-512" hashValue="zBnh5AHrqtn+vgqDKac+sVxj1tQCNfO+ySpSs1niDjqnYMjU/BQAJm3AmpeNaDoTnT5OTdPwyaaKQoYNmrq1Kw==" saltValue="u2wfBVpyfsyiAmDZcN4JyQ==" spinCount="100000" sheet="1" objects="1" scenarios="1" insertRows="0"/>
  <protectedRanges>
    <protectedRange sqref="F7" name="Range1"/>
  </protectedRanges>
  <mergeCells count="10">
    <mergeCell ref="D110:F110"/>
    <mergeCell ref="I6:N6"/>
    <mergeCell ref="T6:U6"/>
    <mergeCell ref="G6:H6"/>
    <mergeCell ref="O6:S6"/>
    <mergeCell ref="D3:F3"/>
    <mergeCell ref="G5:M5"/>
    <mergeCell ref="D5:F5"/>
    <mergeCell ref="C6:F6"/>
    <mergeCell ref="C4:H4"/>
  </mergeCells>
  <phoneticPr fontId="4" type="noConversion"/>
  <dataValidations count="8">
    <dataValidation type="list" allowBlank="1" showInputMessage="1" showErrorMessage="1" sqref="G9:G108" xr:uid="{00000000-0002-0000-0B00-000000000000}">
      <formula1>ECMstatus</formula1>
    </dataValidation>
    <dataValidation type="list" allowBlank="1" showInputMessage="1" showErrorMessage="1" sqref="F9:F65614 F1:F3 F5:F7" xr:uid="{00000000-0002-0000-0B00-000001000000}">
      <formula1>ECMs</formula1>
    </dataValidation>
    <dataValidation allowBlank="1" showInputMessage="1" showErrorMessage="1" error="Please enter the year project was completed or planned to be completed" prompt="Please enter the month and year of completion (or planned completion) in this cell. April 2018 would be entered as         04-2018." sqref="H108" xr:uid="{00000000-0002-0000-0B00-000002000000}"/>
    <dataValidation type="list" allowBlank="1" showInputMessage="1" showErrorMessage="1" prompt="Select type from drop down menu_x000a_" sqref="F8" xr:uid="{00000000-0002-0000-0B00-000003000000}">
      <formula1>ECMs</formula1>
    </dataValidation>
    <dataValidation allowBlank="1" showInputMessage="1" showErrorMessage="1" prompt="Please enter the month and year of completion (or planned completion) in this cell. April 2018 would be entered as         04-2018_x000a__x000a_" sqref="H28:H107" xr:uid="{00000000-0002-0000-0B00-000004000000}"/>
    <dataValidation type="list" allowBlank="1" showInputMessage="1" showErrorMessage="1" promptTitle="Category" prompt="Choose a category from the drop down menu_x000a_" sqref="C8:C107" xr:uid="{00000000-0002-0000-0B00-000005000000}">
      <formula1>Category</formula1>
    </dataValidation>
    <dataValidation type="list" allowBlank="1" showInputMessage="1" showErrorMessage="1" prompt="Select Status from drop down menu" sqref="G8" xr:uid="{00000000-0002-0000-0B00-000006000000}">
      <formula1>ECMstatus</formula1>
    </dataValidation>
    <dataValidation allowBlank="1" showInputMessage="1" showErrorMessage="1" error="Please enter the year project was completed or planned to be completed" prompt="Please enter the month and year of completion (or planned completion) in this cell. April 2018 would be entered as         04-2018_x000a_" sqref="H8:H27" xr:uid="{00000000-0002-0000-0B00-000007000000}"/>
  </dataValidations>
  <hyperlinks>
    <hyperlink ref="D5:F5" location="'Crit 3 - Tbl 4 ECMs SAMPLE Data'!A1" display="Click here to view a sample version of this table" xr:uid="{00000000-0004-0000-0B00-000000000000}"/>
  </hyperlinks>
  <pageMargins left="0.5" right="0.5" top="0.5" bottom="0.5" header="0.5" footer="0"/>
  <pageSetup scale="5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9">
    <tabColor theme="8" tint="0.59999389629810485"/>
    <pageSetUpPr fitToPage="1"/>
  </sheetPr>
  <dimension ref="A1:AC21"/>
  <sheetViews>
    <sheetView showGridLines="0" zoomScale="85" zoomScaleNormal="85" workbookViewId="0">
      <pane xSplit="5" ySplit="6" topLeftCell="F7" activePane="bottomRight" state="frozen"/>
      <selection pane="topRight" activeCell="C6" sqref="C6:F6"/>
      <selection pane="bottomLeft" activeCell="C6" sqref="C6:F6"/>
      <selection pane="bottomRight" activeCell="H13" sqref="H13"/>
    </sheetView>
  </sheetViews>
  <sheetFormatPr defaultColWidth="0" defaultRowHeight="12.75" zeroHeight="1" x14ac:dyDescent="0.2"/>
  <cols>
    <col min="1" max="1" width="4.85546875" style="226" customWidth="1"/>
    <col min="2" max="2" width="3.85546875" style="226" customWidth="1"/>
    <col min="3" max="3" width="25.42578125" style="226" bestFit="1" customWidth="1"/>
    <col min="4" max="4" width="25.42578125" style="226" customWidth="1"/>
    <col min="5" max="6" width="21.5703125" style="226" customWidth="1"/>
    <col min="7" max="8" width="16.5703125" style="226" customWidth="1"/>
    <col min="9" max="9" width="13.42578125" style="226" customWidth="1"/>
    <col min="10" max="10" width="15.42578125" style="227" customWidth="1"/>
    <col min="11" max="14" width="13.5703125" style="226" customWidth="1"/>
    <col min="15" max="15" width="14.140625" style="226" customWidth="1"/>
    <col min="16" max="16" width="13.5703125" style="226" customWidth="1"/>
    <col min="17" max="17" width="15.140625" style="226" customWidth="1"/>
    <col min="18" max="18" width="18.28515625" style="226" bestFit="1" customWidth="1"/>
    <col min="19" max="19" width="17.28515625" style="226" bestFit="1" customWidth="1"/>
    <col min="20" max="20" width="12.85546875" style="228" customWidth="1"/>
    <col min="21" max="21" width="20.42578125" style="226" customWidth="1"/>
    <col min="22" max="23" width="9.140625" style="226" customWidth="1"/>
    <col min="24" max="29" width="0" style="226" hidden="1" customWidth="1"/>
    <col min="30" max="16384" width="9.140625" style="226" hidden="1"/>
  </cols>
  <sheetData>
    <row r="1" spans="2:22" ht="13.5" thickBot="1" x14ac:dyDescent="0.25"/>
    <row r="2" spans="2:22" x14ac:dyDescent="0.2">
      <c r="B2" s="229"/>
      <c r="C2" s="230"/>
      <c r="D2" s="230"/>
      <c r="E2" s="230"/>
      <c r="F2" s="230"/>
      <c r="G2" s="230"/>
      <c r="H2" s="230"/>
      <c r="I2" s="230"/>
      <c r="J2" s="231"/>
      <c r="K2" s="230"/>
      <c r="L2" s="230"/>
      <c r="M2" s="230"/>
      <c r="N2" s="230"/>
      <c r="O2" s="230"/>
      <c r="P2" s="230"/>
      <c r="Q2" s="230"/>
      <c r="R2" s="230"/>
      <c r="S2" s="230"/>
      <c r="T2" s="232"/>
      <c r="U2" s="230"/>
      <c r="V2" s="233"/>
    </row>
    <row r="3" spans="2:22" ht="13.5" thickBot="1" x14ac:dyDescent="0.25">
      <c r="B3" s="234"/>
      <c r="C3" s="1021" t="s">
        <v>288</v>
      </c>
      <c r="D3" s="1021"/>
      <c r="E3" s="1021"/>
      <c r="F3" s="1021"/>
      <c r="G3" s="235"/>
      <c r="H3" s="235"/>
      <c r="I3" s="235"/>
      <c r="J3" s="236"/>
      <c r="K3" s="235"/>
      <c r="L3" s="235"/>
      <c r="M3" s="235"/>
      <c r="N3" s="235"/>
      <c r="O3" s="235"/>
      <c r="P3" s="235"/>
      <c r="Q3" s="235"/>
      <c r="R3" s="235"/>
      <c r="S3" s="235"/>
      <c r="T3" s="237"/>
      <c r="U3" s="235"/>
      <c r="V3" s="238"/>
    </row>
    <row r="4" spans="2:22" ht="35.25" customHeight="1" thickBot="1" x14ac:dyDescent="0.25">
      <c r="B4" s="234"/>
      <c r="C4" s="1038" t="s">
        <v>289</v>
      </c>
      <c r="D4" s="1038"/>
      <c r="E4" s="1038"/>
      <c r="F4" s="1038"/>
      <c r="G4" s="1036" t="s">
        <v>290</v>
      </c>
      <c r="H4" s="1037"/>
      <c r="I4" s="1037"/>
      <c r="J4" s="1037"/>
      <c r="K4" s="1037"/>
      <c r="L4" s="1037"/>
      <c r="M4" s="1037"/>
      <c r="N4" s="239"/>
      <c r="O4" s="239"/>
      <c r="P4" s="239"/>
      <c r="Q4" s="239"/>
      <c r="R4" s="239"/>
      <c r="S4" s="239"/>
      <c r="T4" s="239"/>
      <c r="U4" s="240"/>
      <c r="V4" s="238"/>
    </row>
    <row r="5" spans="2:22" s="245" customFormat="1" ht="42" customHeight="1" thickBot="1" x14ac:dyDescent="0.25">
      <c r="B5" s="241"/>
      <c r="C5" s="1033" t="s">
        <v>291</v>
      </c>
      <c r="D5" s="1034"/>
      <c r="E5" s="1034"/>
      <c r="F5" s="1035"/>
      <c r="G5" s="1031" t="s">
        <v>34</v>
      </c>
      <c r="H5" s="1032"/>
      <c r="I5" s="1039" t="s">
        <v>264</v>
      </c>
      <c r="J5" s="1040"/>
      <c r="K5" s="1040"/>
      <c r="L5" s="1040"/>
      <c r="M5" s="296"/>
      <c r="N5" s="297"/>
      <c r="O5" s="1028" t="s">
        <v>265</v>
      </c>
      <c r="P5" s="1029"/>
      <c r="Q5" s="1029"/>
      <c r="R5" s="1029"/>
      <c r="S5" s="1030"/>
      <c r="T5" s="242" t="s">
        <v>266</v>
      </c>
      <c r="U5" s="243"/>
      <c r="V5" s="244"/>
    </row>
    <row r="6" spans="2:22" s="252" customFormat="1" ht="111" customHeight="1" thickBot="1" x14ac:dyDescent="0.25">
      <c r="B6" s="246"/>
      <c r="C6" s="323" t="s">
        <v>292</v>
      </c>
      <c r="D6" s="321" t="s">
        <v>268</v>
      </c>
      <c r="E6" s="247" t="s">
        <v>269</v>
      </c>
      <c r="F6" s="247" t="s">
        <v>270</v>
      </c>
      <c r="G6" s="539" t="s">
        <v>271</v>
      </c>
      <c r="H6" s="95" t="s">
        <v>272</v>
      </c>
      <c r="I6" s="537" t="s">
        <v>273</v>
      </c>
      <c r="J6" s="538" t="s">
        <v>274</v>
      </c>
      <c r="K6" s="538" t="s">
        <v>275</v>
      </c>
      <c r="L6" s="538" t="s">
        <v>276</v>
      </c>
      <c r="M6" s="538" t="s">
        <v>277</v>
      </c>
      <c r="N6" s="248" t="s">
        <v>278</v>
      </c>
      <c r="O6" s="537" t="s">
        <v>279</v>
      </c>
      <c r="P6" s="538" t="s">
        <v>280</v>
      </c>
      <c r="Q6" s="538" t="s">
        <v>281</v>
      </c>
      <c r="R6" s="538" t="s">
        <v>282</v>
      </c>
      <c r="S6" s="248" t="s">
        <v>283</v>
      </c>
      <c r="T6" s="249" t="s">
        <v>284</v>
      </c>
      <c r="U6" s="250" t="s">
        <v>285</v>
      </c>
      <c r="V6" s="251"/>
    </row>
    <row r="7" spans="2:22" ht="38.25" x14ac:dyDescent="0.2">
      <c r="B7" s="234"/>
      <c r="C7" s="324" t="s">
        <v>179</v>
      </c>
      <c r="D7" s="322" t="s">
        <v>293</v>
      </c>
      <c r="E7" s="253" t="s">
        <v>294</v>
      </c>
      <c r="F7" s="254" t="s">
        <v>230</v>
      </c>
      <c r="G7" s="255" t="s">
        <v>252</v>
      </c>
      <c r="H7" s="256">
        <v>43862</v>
      </c>
      <c r="I7" s="257">
        <v>95252</v>
      </c>
      <c r="J7" s="258">
        <v>0</v>
      </c>
      <c r="K7" s="258">
        <v>0</v>
      </c>
      <c r="L7" s="259">
        <v>0</v>
      </c>
      <c r="M7" s="259">
        <v>0</v>
      </c>
      <c r="N7" s="260">
        <v>0</v>
      </c>
      <c r="O7" s="261">
        <v>8000</v>
      </c>
      <c r="P7" s="262">
        <v>25000</v>
      </c>
      <c r="Q7" s="262">
        <v>0</v>
      </c>
      <c r="R7" s="262">
        <v>12500</v>
      </c>
      <c r="S7" s="263">
        <v>12500</v>
      </c>
      <c r="T7" s="264" t="s">
        <v>295</v>
      </c>
      <c r="U7" s="206" t="s">
        <v>296</v>
      </c>
      <c r="V7" s="238"/>
    </row>
    <row r="8" spans="2:22" x14ac:dyDescent="0.2">
      <c r="B8" s="234"/>
      <c r="C8" s="324" t="s">
        <v>179</v>
      </c>
      <c r="D8" s="572" t="s">
        <v>211</v>
      </c>
      <c r="E8" s="266" t="s">
        <v>297</v>
      </c>
      <c r="F8" s="267" t="s">
        <v>245</v>
      </c>
      <c r="G8" s="268" t="s">
        <v>254</v>
      </c>
      <c r="H8" s="269">
        <v>44166</v>
      </c>
      <c r="I8" s="573">
        <v>0</v>
      </c>
      <c r="J8" s="270">
        <v>230</v>
      </c>
      <c r="K8" s="270">
        <v>0</v>
      </c>
      <c r="L8" s="271">
        <v>0</v>
      </c>
      <c r="M8" s="271">
        <v>0</v>
      </c>
      <c r="N8" s="272">
        <v>0</v>
      </c>
      <c r="O8" s="574">
        <v>1100</v>
      </c>
      <c r="P8" s="273">
        <v>3500</v>
      </c>
      <c r="Q8" s="273">
        <v>1750</v>
      </c>
      <c r="R8" s="273">
        <v>1750</v>
      </c>
      <c r="S8" s="274">
        <v>0</v>
      </c>
      <c r="T8" s="575" t="s">
        <v>298</v>
      </c>
      <c r="U8" s="207" t="s">
        <v>299</v>
      </c>
      <c r="V8" s="238"/>
    </row>
    <row r="9" spans="2:22" ht="25.5" x14ac:dyDescent="0.2">
      <c r="B9" s="234"/>
      <c r="C9" s="324" t="s">
        <v>179</v>
      </c>
      <c r="D9" s="572" t="s">
        <v>211</v>
      </c>
      <c r="E9" s="266" t="s">
        <v>300</v>
      </c>
      <c r="F9" s="267" t="s">
        <v>236</v>
      </c>
      <c r="G9" s="268" t="s">
        <v>256</v>
      </c>
      <c r="H9" s="269">
        <v>44866</v>
      </c>
      <c r="I9" s="573">
        <v>0</v>
      </c>
      <c r="J9" s="270">
        <v>17122</v>
      </c>
      <c r="K9" s="270">
        <v>0</v>
      </c>
      <c r="L9" s="271">
        <v>0</v>
      </c>
      <c r="M9" s="271">
        <v>0</v>
      </c>
      <c r="N9" s="272">
        <v>0</v>
      </c>
      <c r="O9" s="574">
        <v>5000</v>
      </c>
      <c r="P9" s="273">
        <v>50000</v>
      </c>
      <c r="Q9" s="273">
        <v>35000</v>
      </c>
      <c r="R9" s="273">
        <v>15000</v>
      </c>
      <c r="S9" s="274">
        <v>0</v>
      </c>
      <c r="T9" s="575" t="s">
        <v>298</v>
      </c>
      <c r="U9" s="207" t="s">
        <v>301</v>
      </c>
      <c r="V9" s="238"/>
    </row>
    <row r="10" spans="2:22" ht="51" x14ac:dyDescent="0.2">
      <c r="B10" s="234"/>
      <c r="C10" s="265" t="s">
        <v>302</v>
      </c>
      <c r="D10" s="572"/>
      <c r="E10" s="266" t="s">
        <v>303</v>
      </c>
      <c r="F10" s="267" t="s">
        <v>304</v>
      </c>
      <c r="G10" s="275" t="s">
        <v>254</v>
      </c>
      <c r="H10" s="269">
        <v>44197</v>
      </c>
      <c r="I10" s="573">
        <v>6000</v>
      </c>
      <c r="J10" s="270">
        <v>0</v>
      </c>
      <c r="K10" s="270">
        <v>0</v>
      </c>
      <c r="L10" s="270">
        <v>0</v>
      </c>
      <c r="M10" s="270">
        <v>0</v>
      </c>
      <c r="N10" s="276">
        <v>0</v>
      </c>
      <c r="O10" s="576">
        <v>2500</v>
      </c>
      <c r="P10" s="273">
        <v>5000</v>
      </c>
      <c r="Q10" s="273">
        <v>0</v>
      </c>
      <c r="R10" s="273">
        <v>2500</v>
      </c>
      <c r="S10" s="277">
        <v>2500</v>
      </c>
      <c r="T10" s="575" t="s">
        <v>305</v>
      </c>
      <c r="U10" s="207" t="s">
        <v>306</v>
      </c>
      <c r="V10" s="238"/>
    </row>
    <row r="11" spans="2:22" ht="25.5" x14ac:dyDescent="0.2">
      <c r="B11" s="234"/>
      <c r="C11" s="279" t="s">
        <v>179</v>
      </c>
      <c r="D11" s="265" t="s">
        <v>307</v>
      </c>
      <c r="E11" s="266" t="s">
        <v>308</v>
      </c>
      <c r="F11" s="267" t="s">
        <v>238</v>
      </c>
      <c r="G11" s="275" t="s">
        <v>252</v>
      </c>
      <c r="H11" s="269">
        <v>43891</v>
      </c>
      <c r="I11" s="573">
        <v>500000</v>
      </c>
      <c r="J11" s="270">
        <v>0</v>
      </c>
      <c r="K11" s="270">
        <v>0</v>
      </c>
      <c r="L11" s="270">
        <v>0</v>
      </c>
      <c r="M11" s="270">
        <v>0</v>
      </c>
      <c r="N11" s="276">
        <v>0</v>
      </c>
      <c r="O11" s="574">
        <v>40000</v>
      </c>
      <c r="P11" s="273">
        <v>200000</v>
      </c>
      <c r="Q11" s="273">
        <v>0</v>
      </c>
      <c r="R11" s="273">
        <v>100000</v>
      </c>
      <c r="S11" s="274">
        <v>100000</v>
      </c>
      <c r="T11" s="575" t="s">
        <v>309</v>
      </c>
      <c r="U11" s="278" t="s">
        <v>310</v>
      </c>
      <c r="V11" s="238"/>
    </row>
    <row r="12" spans="2:22" ht="51" x14ac:dyDescent="0.2">
      <c r="B12" s="234"/>
      <c r="C12" s="279" t="s">
        <v>182</v>
      </c>
      <c r="D12" s="577"/>
      <c r="E12" s="266" t="s">
        <v>311</v>
      </c>
      <c r="F12" s="267" t="s">
        <v>182</v>
      </c>
      <c r="G12" s="275" t="s">
        <v>256</v>
      </c>
      <c r="H12" s="269">
        <v>44044</v>
      </c>
      <c r="I12" s="573">
        <v>0</v>
      </c>
      <c r="J12" s="280">
        <v>0</v>
      </c>
      <c r="K12" s="270">
        <v>400</v>
      </c>
      <c r="L12" s="270">
        <v>400</v>
      </c>
      <c r="M12" s="270">
        <v>400</v>
      </c>
      <c r="N12" s="276">
        <v>400</v>
      </c>
      <c r="O12" s="578">
        <v>4500</v>
      </c>
      <c r="P12" s="273">
        <v>6000</v>
      </c>
      <c r="Q12" s="273">
        <v>0</v>
      </c>
      <c r="R12" s="273">
        <v>0</v>
      </c>
      <c r="S12" s="281">
        <v>6000</v>
      </c>
      <c r="T12" s="575" t="s">
        <v>312</v>
      </c>
      <c r="U12" s="208" t="s">
        <v>313</v>
      </c>
      <c r="V12" s="238"/>
    </row>
    <row r="13" spans="2:22" ht="39.75" customHeight="1" thickBot="1" x14ac:dyDescent="0.25">
      <c r="B13" s="234"/>
      <c r="C13" s="1025" t="s">
        <v>286</v>
      </c>
      <c r="D13" s="1026"/>
      <c r="E13" s="1026"/>
      <c r="F13" s="1027"/>
      <c r="G13" s="282"/>
      <c r="H13" s="283"/>
      <c r="I13" s="284">
        <f t="shared" ref="I13:S13" si="0">SUM(I7:I12)</f>
        <v>601252</v>
      </c>
      <c r="J13" s="284">
        <f t="shared" si="0"/>
        <v>17352</v>
      </c>
      <c r="K13" s="284">
        <f t="shared" si="0"/>
        <v>400</v>
      </c>
      <c r="L13" s="284">
        <f t="shared" si="0"/>
        <v>400</v>
      </c>
      <c r="M13" s="284">
        <f t="shared" si="0"/>
        <v>400</v>
      </c>
      <c r="N13" s="284">
        <f t="shared" si="0"/>
        <v>400</v>
      </c>
      <c r="O13" s="298">
        <f t="shared" si="0"/>
        <v>61100</v>
      </c>
      <c r="P13" s="298">
        <f t="shared" si="0"/>
        <v>289500</v>
      </c>
      <c r="Q13" s="298">
        <f t="shared" si="0"/>
        <v>36750</v>
      </c>
      <c r="R13" s="298">
        <f t="shared" si="0"/>
        <v>131750</v>
      </c>
      <c r="S13" s="298">
        <f t="shared" si="0"/>
        <v>121000</v>
      </c>
      <c r="T13" s="285"/>
      <c r="U13" s="286"/>
      <c r="V13" s="238"/>
    </row>
    <row r="14" spans="2:22" ht="39" customHeight="1" thickBot="1" x14ac:dyDescent="0.25">
      <c r="B14" s="234"/>
      <c r="C14" s="1022" t="s">
        <v>287</v>
      </c>
      <c r="D14" s="1023"/>
      <c r="E14" s="1023"/>
      <c r="F14" s="1024"/>
      <c r="G14" s="287">
        <f>SUM(I14:N14)</f>
        <v>4661.7998240000015</v>
      </c>
      <c r="H14" s="288"/>
      <c r="I14" s="288">
        <f>I13*0.003412</f>
        <v>2051.4718240000002</v>
      </c>
      <c r="J14" s="289">
        <f>J13*0.139</f>
        <v>2411.9280000000003</v>
      </c>
      <c r="K14" s="290">
        <f>K13*0.124</f>
        <v>49.6</v>
      </c>
      <c r="L14" s="290">
        <f>L13*0.124</f>
        <v>49.6</v>
      </c>
      <c r="M14" s="290">
        <f>M13*0.124</f>
        <v>49.6</v>
      </c>
      <c r="N14" s="291">
        <f>N13*0.124</f>
        <v>49.6</v>
      </c>
      <c r="O14" s="292"/>
      <c r="P14" s="292"/>
      <c r="Q14" s="292"/>
      <c r="R14" s="292"/>
      <c r="S14" s="292"/>
      <c r="T14" s="293"/>
      <c r="U14" s="286"/>
      <c r="V14" s="238"/>
    </row>
    <row r="15" spans="2:22" ht="13.5" thickBot="1" x14ac:dyDescent="0.25">
      <c r="B15" s="294"/>
      <c r="C15" s="235"/>
      <c r="D15" s="235"/>
      <c r="E15" s="235"/>
      <c r="F15" s="235"/>
      <c r="G15" s="235"/>
      <c r="H15" s="235"/>
      <c r="I15" s="235"/>
      <c r="J15" s="236"/>
      <c r="K15" s="235"/>
      <c r="L15" s="235"/>
      <c r="M15" s="235"/>
      <c r="N15" s="235"/>
      <c r="O15" s="235"/>
      <c r="P15" s="235"/>
      <c r="Q15" s="235"/>
      <c r="R15" s="235"/>
      <c r="S15" s="235"/>
      <c r="T15" s="237"/>
      <c r="U15" s="235"/>
      <c r="V15" s="295"/>
    </row>
    <row r="16" spans="2:22" x14ac:dyDescent="0.2"/>
    <row r="17" x14ac:dyDescent="0.2"/>
    <row r="18" x14ac:dyDescent="0.2"/>
    <row r="19" x14ac:dyDescent="0.2"/>
    <row r="20" x14ac:dyDescent="0.2"/>
    <row r="21" x14ac:dyDescent="0.2"/>
  </sheetData>
  <mergeCells count="9">
    <mergeCell ref="C3:F3"/>
    <mergeCell ref="C14:F14"/>
    <mergeCell ref="C13:F13"/>
    <mergeCell ref="O5:S5"/>
    <mergeCell ref="G5:H5"/>
    <mergeCell ref="C5:F5"/>
    <mergeCell ref="G4:M4"/>
    <mergeCell ref="C4:F4"/>
    <mergeCell ref="I5:L5"/>
  </mergeCells>
  <phoneticPr fontId="4" type="noConversion"/>
  <dataValidations count="2">
    <dataValidation type="list" allowBlank="1" showInputMessage="1" showErrorMessage="1" sqref="F7:F12" xr:uid="{00000000-0002-0000-0C00-000000000000}">
      <formula1>ECMs</formula1>
    </dataValidation>
    <dataValidation type="list" allowBlank="1" showInputMessage="1" showErrorMessage="1" sqref="G7:G12" xr:uid="{00000000-0002-0000-0C00-000001000000}">
      <formula1>ECMstatus</formula1>
    </dataValidation>
  </dataValidations>
  <hyperlinks>
    <hyperlink ref="U7" r:id="rId1" xr:uid="{00000000-0004-0000-0C00-000000000000}"/>
    <hyperlink ref="U12" r:id="rId2" display="www.fueleconomy.gov" xr:uid="{00000000-0004-0000-0C00-000001000000}"/>
    <hyperlink ref="C4:F4" location="'Crit 3 - Table 4 ECMs'!A1" display="Click here to return to Table 4" xr:uid="{00000000-0004-0000-0C00-000002000000}"/>
  </hyperlinks>
  <pageMargins left="0.5" right="0.5" top="0.5" bottom="0.5" header="0.5" footer="0"/>
  <pageSetup scale="56" orientation="landscape" verticalDpi="0"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5">
    <tabColor theme="0" tint="-0.249977111117893"/>
    <pageSetUpPr fitToPage="1"/>
  </sheetPr>
  <dimension ref="A1:E102"/>
  <sheetViews>
    <sheetView showGridLines="0" topLeftCell="B58" zoomScale="90" zoomScaleNormal="90" workbookViewId="0">
      <selection activeCell="C6" sqref="C6:F6"/>
    </sheetView>
  </sheetViews>
  <sheetFormatPr defaultColWidth="0" defaultRowHeight="12.75" zeroHeight="1" x14ac:dyDescent="0.2"/>
  <cols>
    <col min="1" max="1" width="3.140625" style="25" customWidth="1"/>
    <col min="2" max="2" width="5.28515625" style="25" customWidth="1"/>
    <col min="3" max="3" width="127.28515625" style="26" customWidth="1"/>
    <col min="4" max="4" width="15.85546875" style="25" customWidth="1"/>
    <col min="5" max="5" width="6.85546875" style="25" customWidth="1"/>
    <col min="6" max="16384" width="9.140625" style="25" hidden="1"/>
  </cols>
  <sheetData>
    <row r="1" spans="2:4" ht="13.5" thickBot="1" x14ac:dyDescent="0.25"/>
    <row r="2" spans="2:4" ht="15.75" x14ac:dyDescent="0.25">
      <c r="B2" s="16"/>
      <c r="C2" s="302" t="s">
        <v>314</v>
      </c>
      <c r="D2" s="18"/>
    </row>
    <row r="3" spans="2:4" x14ac:dyDescent="0.2">
      <c r="B3" s="19"/>
      <c r="C3" s="46"/>
      <c r="D3" s="21"/>
    </row>
    <row r="4" spans="2:4" ht="63" x14ac:dyDescent="0.25">
      <c r="B4" s="19"/>
      <c r="C4" s="408" t="s">
        <v>315</v>
      </c>
      <c r="D4" s="21"/>
    </row>
    <row r="5" spans="2:4" ht="16.5" thickBot="1" x14ac:dyDescent="0.3">
      <c r="B5" s="47"/>
      <c r="C5" s="301"/>
      <c r="D5" s="48"/>
    </row>
    <row r="6" spans="2:4" ht="16.5" thickTop="1" x14ac:dyDescent="0.25">
      <c r="B6" s="303"/>
      <c r="C6" s="305"/>
      <c r="D6" s="48"/>
    </row>
    <row r="7" spans="2:4" x14ac:dyDescent="0.2">
      <c r="B7" s="303"/>
      <c r="C7" s="306"/>
      <c r="D7" s="48"/>
    </row>
    <row r="8" spans="2:4" ht="15.75" customHeight="1" x14ac:dyDescent="0.2">
      <c r="B8" s="304"/>
      <c r="C8" s="307"/>
      <c r="D8" s="21"/>
    </row>
    <row r="9" spans="2:4" ht="15.75" customHeight="1" x14ac:dyDescent="0.2">
      <c r="B9" s="304"/>
      <c r="C9" s="306"/>
      <c r="D9" s="21"/>
    </row>
    <row r="10" spans="2:4" ht="15.75" customHeight="1" x14ac:dyDescent="0.25">
      <c r="B10" s="304"/>
      <c r="C10" s="311" t="s">
        <v>316</v>
      </c>
      <c r="D10" s="21"/>
    </row>
    <row r="11" spans="2:4" ht="15.75" customHeight="1" x14ac:dyDescent="0.25">
      <c r="B11" s="304"/>
      <c r="C11" s="312" t="s">
        <v>317</v>
      </c>
      <c r="D11" s="21"/>
    </row>
    <row r="12" spans="2:4" ht="15.75" customHeight="1" x14ac:dyDescent="0.25">
      <c r="B12" s="304"/>
      <c r="C12" s="308"/>
      <c r="D12" s="21"/>
    </row>
    <row r="13" spans="2:4" ht="15.75" customHeight="1" x14ac:dyDescent="0.25">
      <c r="B13" s="304"/>
      <c r="C13" s="308"/>
      <c r="D13" s="21"/>
    </row>
    <row r="14" spans="2:4" ht="15.75" customHeight="1" x14ac:dyDescent="0.2">
      <c r="B14" s="304"/>
      <c r="C14" s="306"/>
      <c r="D14" s="21"/>
    </row>
    <row r="15" spans="2:4" ht="15.75" customHeight="1" x14ac:dyDescent="0.2">
      <c r="B15" s="304"/>
      <c r="C15" s="306"/>
      <c r="D15" s="21"/>
    </row>
    <row r="16" spans="2:4" ht="15.75" customHeight="1" x14ac:dyDescent="0.25">
      <c r="B16" s="304"/>
      <c r="C16" s="309"/>
      <c r="D16" s="21"/>
    </row>
    <row r="17" spans="2:4" ht="15.75" customHeight="1" x14ac:dyDescent="0.2">
      <c r="B17" s="304"/>
      <c r="C17" s="306"/>
      <c r="D17" s="21"/>
    </row>
    <row r="18" spans="2:4" ht="15.75" customHeight="1" x14ac:dyDescent="0.25">
      <c r="B18" s="304"/>
      <c r="C18" s="311" t="s">
        <v>318</v>
      </c>
      <c r="D18" s="21"/>
    </row>
    <row r="19" spans="2:4" ht="15.75" customHeight="1" x14ac:dyDescent="0.25">
      <c r="B19" s="304"/>
      <c r="C19" s="312" t="s">
        <v>319</v>
      </c>
      <c r="D19" s="21"/>
    </row>
    <row r="20" spans="2:4" ht="15.75" customHeight="1" x14ac:dyDescent="0.2">
      <c r="B20" s="304"/>
      <c r="C20" s="306"/>
      <c r="D20" s="21"/>
    </row>
    <row r="21" spans="2:4" ht="15.75" customHeight="1" x14ac:dyDescent="0.2">
      <c r="B21" s="304"/>
      <c r="C21" s="306"/>
      <c r="D21" s="21"/>
    </row>
    <row r="22" spans="2:4" ht="15.75" customHeight="1" x14ac:dyDescent="0.2">
      <c r="B22" s="304"/>
      <c r="C22" s="307"/>
      <c r="D22" s="21"/>
    </row>
    <row r="23" spans="2:4" ht="15.75" customHeight="1" x14ac:dyDescent="0.2">
      <c r="B23" s="304"/>
      <c r="C23" s="307"/>
      <c r="D23" s="21"/>
    </row>
    <row r="24" spans="2:4" ht="15.75" customHeight="1" x14ac:dyDescent="0.2">
      <c r="B24" s="304"/>
      <c r="C24" s="307"/>
      <c r="D24" s="21"/>
    </row>
    <row r="25" spans="2:4" ht="15.75" customHeight="1" x14ac:dyDescent="0.25">
      <c r="B25" s="304"/>
      <c r="C25" s="311" t="s">
        <v>320</v>
      </c>
      <c r="D25" s="21"/>
    </row>
    <row r="26" spans="2:4" ht="15.75" customHeight="1" x14ac:dyDescent="0.25">
      <c r="B26" s="304"/>
      <c r="C26" s="312" t="s">
        <v>321</v>
      </c>
      <c r="D26" s="21"/>
    </row>
    <row r="27" spans="2:4" ht="15.75" customHeight="1" thickBot="1" x14ac:dyDescent="0.3">
      <c r="B27" s="304"/>
      <c r="C27" s="310"/>
      <c r="D27" s="21"/>
    </row>
    <row r="28" spans="2:4" ht="13.5" thickTop="1" x14ac:dyDescent="0.2">
      <c r="B28" s="19"/>
      <c r="C28" s="46"/>
      <c r="D28" s="21"/>
    </row>
    <row r="29" spans="2:4" ht="15.75" x14ac:dyDescent="0.25">
      <c r="B29" s="19"/>
      <c r="C29" s="45" t="s">
        <v>322</v>
      </c>
      <c r="D29" s="21"/>
    </row>
    <row r="30" spans="2:4" x14ac:dyDescent="0.2">
      <c r="B30" s="19"/>
      <c r="C30" s="46"/>
      <c r="D30" s="21"/>
    </row>
    <row r="31" spans="2:4" ht="47.25" x14ac:dyDescent="0.25">
      <c r="B31" s="19"/>
      <c r="C31" s="49" t="s">
        <v>323</v>
      </c>
      <c r="D31" s="21"/>
    </row>
    <row r="32" spans="2:4" ht="15.75" x14ac:dyDescent="0.25">
      <c r="B32" s="19"/>
      <c r="C32" s="49"/>
      <c r="D32" s="21"/>
    </row>
    <row r="33" spans="2:4" ht="15.75" x14ac:dyDescent="0.25">
      <c r="B33" s="19"/>
      <c r="C33" s="401" t="s">
        <v>324</v>
      </c>
      <c r="D33" s="21"/>
    </row>
    <row r="34" spans="2:4" ht="15.75" x14ac:dyDescent="0.25">
      <c r="B34" s="19"/>
      <c r="C34" s="579" t="s">
        <v>325</v>
      </c>
      <c r="D34" s="21"/>
    </row>
    <row r="35" spans="2:4" ht="15.75" x14ac:dyDescent="0.25">
      <c r="B35" s="19"/>
      <c r="C35" s="579" t="s">
        <v>326</v>
      </c>
      <c r="D35" s="21"/>
    </row>
    <row r="36" spans="2:4" ht="15.75" x14ac:dyDescent="0.25">
      <c r="B36" s="19"/>
      <c r="C36" s="314" t="s">
        <v>327</v>
      </c>
      <c r="D36" s="21"/>
    </row>
    <row r="37" spans="2:4" ht="15.75" x14ac:dyDescent="0.25">
      <c r="B37" s="19"/>
      <c r="C37" s="367" t="s">
        <v>328</v>
      </c>
      <c r="D37" s="21"/>
    </row>
    <row r="38" spans="2:4" ht="15.75" x14ac:dyDescent="0.25">
      <c r="B38" s="19"/>
      <c r="C38" s="580"/>
      <c r="D38" s="21"/>
    </row>
    <row r="39" spans="2:4" x14ac:dyDescent="0.2">
      <c r="B39" s="19"/>
      <c r="C39"/>
      <c r="D39" s="21"/>
    </row>
    <row r="40" spans="2:4" ht="15.75" x14ac:dyDescent="0.25">
      <c r="B40" s="19"/>
      <c r="C40" s="49"/>
      <c r="D40" s="21"/>
    </row>
    <row r="41" spans="2:4" ht="31.5" x14ac:dyDescent="0.25">
      <c r="B41" s="19"/>
      <c r="C41" s="49" t="s">
        <v>329</v>
      </c>
      <c r="D41" s="21"/>
    </row>
    <row r="42" spans="2:4" ht="15.75" x14ac:dyDescent="0.25">
      <c r="B42" s="19"/>
      <c r="C42" s="49"/>
      <c r="D42" s="21"/>
    </row>
    <row r="43" spans="2:4" ht="47.25" x14ac:dyDescent="0.25">
      <c r="B43" s="19"/>
      <c r="C43" s="49" t="s">
        <v>330</v>
      </c>
      <c r="D43" s="21"/>
    </row>
    <row r="44" spans="2:4" ht="15.75" x14ac:dyDescent="0.25">
      <c r="B44" s="19"/>
      <c r="C44" s="49"/>
      <c r="D44" s="21"/>
    </row>
    <row r="45" spans="2:4" ht="15.75" x14ac:dyDescent="0.25">
      <c r="B45" s="19"/>
      <c r="C45" s="45" t="s">
        <v>331</v>
      </c>
      <c r="D45" s="21"/>
    </row>
    <row r="46" spans="2:4" x14ac:dyDescent="0.2">
      <c r="B46" s="19"/>
      <c r="C46" s="46"/>
      <c r="D46" s="21"/>
    </row>
    <row r="47" spans="2:4" ht="48" customHeight="1" x14ac:dyDescent="0.25">
      <c r="B47" s="19"/>
      <c r="C47" s="49" t="s">
        <v>332</v>
      </c>
      <c r="D47" s="21"/>
    </row>
    <row r="48" spans="2:4" ht="15.75" x14ac:dyDescent="0.25">
      <c r="B48" s="19"/>
      <c r="C48" s="402" t="s">
        <v>333</v>
      </c>
      <c r="D48" s="21"/>
    </row>
    <row r="49" spans="2:4" ht="15.75" x14ac:dyDescent="0.25">
      <c r="B49" s="19"/>
      <c r="C49" s="401"/>
      <c r="D49" s="21"/>
    </row>
    <row r="50" spans="2:4" ht="15.75" x14ac:dyDescent="0.25">
      <c r="B50" s="19"/>
      <c r="C50" s="401" t="s">
        <v>324</v>
      </c>
      <c r="D50" s="21"/>
    </row>
    <row r="51" spans="2:4" ht="15.75" x14ac:dyDescent="0.25">
      <c r="B51" s="19"/>
      <c r="C51" s="579" t="s">
        <v>334</v>
      </c>
      <c r="D51" s="21"/>
    </row>
    <row r="52" spans="2:4" ht="15.75" x14ac:dyDescent="0.25">
      <c r="B52" s="19"/>
      <c r="C52" s="579" t="s">
        <v>335</v>
      </c>
      <c r="D52" s="21"/>
    </row>
    <row r="53" spans="2:4" ht="15.75" x14ac:dyDescent="0.25">
      <c r="B53" s="19"/>
      <c r="C53" s="314" t="s">
        <v>336</v>
      </c>
      <c r="D53" s="21"/>
    </row>
    <row r="54" spans="2:4" ht="15.75" x14ac:dyDescent="0.25">
      <c r="B54" s="19"/>
      <c r="C54" s="367" t="s">
        <v>337</v>
      </c>
      <c r="D54" s="21"/>
    </row>
    <row r="55" spans="2:4" ht="17.25" customHeight="1" x14ac:dyDescent="0.25">
      <c r="B55" s="19"/>
      <c r="C55" s="49"/>
      <c r="D55" s="21"/>
    </row>
    <row r="56" spans="2:4" x14ac:dyDescent="0.2">
      <c r="B56" s="19"/>
      <c r="C56"/>
      <c r="D56" s="21"/>
    </row>
    <row r="57" spans="2:4" ht="18" customHeight="1" x14ac:dyDescent="0.25">
      <c r="B57" s="19"/>
      <c r="C57" s="315" t="s">
        <v>338</v>
      </c>
      <c r="D57" s="21"/>
    </row>
    <row r="58" spans="2:4" ht="18" customHeight="1" x14ac:dyDescent="0.25">
      <c r="B58" s="19"/>
      <c r="C58" s="316" t="s">
        <v>339</v>
      </c>
      <c r="D58" s="21"/>
    </row>
    <row r="59" spans="2:4" ht="18" customHeight="1" x14ac:dyDescent="0.25">
      <c r="B59" s="19"/>
      <c r="C59" s="316" t="s">
        <v>340</v>
      </c>
      <c r="D59" s="21"/>
    </row>
    <row r="60" spans="2:4" ht="15.75" x14ac:dyDescent="0.25">
      <c r="B60" s="19"/>
      <c r="C60" s="49"/>
      <c r="D60" s="21"/>
    </row>
    <row r="61" spans="2:4" ht="63" x14ac:dyDescent="0.25">
      <c r="B61" s="19"/>
      <c r="C61" s="49" t="s">
        <v>341</v>
      </c>
      <c r="D61" s="21"/>
    </row>
    <row r="62" spans="2:4" ht="15.75" x14ac:dyDescent="0.25">
      <c r="B62" s="19"/>
      <c r="C62" s="49"/>
      <c r="D62" s="21"/>
    </row>
    <row r="63" spans="2:4" ht="47.25" x14ac:dyDescent="0.25">
      <c r="B63" s="19"/>
      <c r="C63" s="49" t="s">
        <v>342</v>
      </c>
      <c r="D63" s="21"/>
    </row>
    <row r="64" spans="2:4" x14ac:dyDescent="0.2">
      <c r="B64" s="19"/>
      <c r="C64" s="46"/>
      <c r="D64" s="21"/>
    </row>
    <row r="65" spans="2:4" x14ac:dyDescent="0.2">
      <c r="B65" s="19"/>
      <c r="C65" s="46"/>
      <c r="D65" s="21"/>
    </row>
    <row r="66" spans="2:4" ht="15.75" x14ac:dyDescent="0.25">
      <c r="B66" s="19"/>
      <c r="C66" s="45" t="s">
        <v>343</v>
      </c>
      <c r="D66" s="21"/>
    </row>
    <row r="67" spans="2:4" ht="15.75" x14ac:dyDescent="0.25">
      <c r="B67" s="19"/>
      <c r="C67" s="49"/>
      <c r="D67" s="21"/>
    </row>
    <row r="68" spans="2:4" ht="128.25" customHeight="1" x14ac:dyDescent="0.25">
      <c r="B68" s="19"/>
      <c r="C68" s="313" t="s">
        <v>344</v>
      </c>
      <c r="D68" s="21"/>
    </row>
    <row r="69" spans="2:4" ht="15.75" x14ac:dyDescent="0.25">
      <c r="B69" s="19"/>
      <c r="C69" s="49"/>
      <c r="D69" s="21"/>
    </row>
    <row r="70" spans="2:4" ht="31.5" x14ac:dyDescent="0.25">
      <c r="B70" s="19"/>
      <c r="C70" s="49" t="s">
        <v>345</v>
      </c>
      <c r="D70" s="21"/>
    </row>
    <row r="71" spans="2:4" ht="15.75" x14ac:dyDescent="0.25">
      <c r="B71" s="19"/>
      <c r="C71" s="49"/>
      <c r="D71" s="21"/>
    </row>
    <row r="72" spans="2:4" ht="31.5" x14ac:dyDescent="0.25">
      <c r="B72" s="19"/>
      <c r="C72" s="49" t="s">
        <v>346</v>
      </c>
      <c r="D72" s="21"/>
    </row>
    <row r="73" spans="2:4" ht="15.75" x14ac:dyDescent="0.25">
      <c r="B73" s="19"/>
      <c r="C73" s="49"/>
      <c r="D73" s="21"/>
    </row>
    <row r="74" spans="2:4" ht="15.75" x14ac:dyDescent="0.25">
      <c r="B74" s="19"/>
      <c r="C74" s="45"/>
      <c r="D74" s="21"/>
    </row>
    <row r="75" spans="2:4" ht="15.75" x14ac:dyDescent="0.25">
      <c r="B75" s="19"/>
      <c r="C75" s="45" t="s">
        <v>347</v>
      </c>
      <c r="D75" s="21"/>
    </row>
    <row r="76" spans="2:4" ht="15.75" x14ac:dyDescent="0.25">
      <c r="B76" s="19"/>
      <c r="C76" s="49"/>
      <c r="D76" s="21"/>
    </row>
    <row r="77" spans="2:4" ht="31.5" x14ac:dyDescent="0.25">
      <c r="B77" s="19"/>
      <c r="C77" s="49" t="s">
        <v>348</v>
      </c>
      <c r="D77" s="21"/>
    </row>
    <row r="78" spans="2:4" ht="15.75" x14ac:dyDescent="0.25">
      <c r="B78" s="19"/>
      <c r="C78" s="49"/>
      <c r="D78" s="21"/>
    </row>
    <row r="79" spans="2:4" ht="31.5" x14ac:dyDescent="0.25">
      <c r="B79" s="19"/>
      <c r="C79" s="49" t="s">
        <v>349</v>
      </c>
      <c r="D79" s="21"/>
    </row>
    <row r="80" spans="2:4" ht="15.75" x14ac:dyDescent="0.25">
      <c r="B80" s="19"/>
      <c r="C80" s="49"/>
      <c r="D80" s="21"/>
    </row>
    <row r="81" spans="2:4" ht="31.5" x14ac:dyDescent="0.25">
      <c r="B81" s="19"/>
      <c r="C81" s="49" t="s">
        <v>350</v>
      </c>
      <c r="D81" s="21"/>
    </row>
    <row r="82" spans="2:4" ht="13.5" thickBot="1" x14ac:dyDescent="0.25">
      <c r="B82" s="22"/>
      <c r="C82" s="23"/>
      <c r="D82" s="24"/>
    </row>
    <row r="83" spans="2:4" x14ac:dyDescent="0.2"/>
    <row r="84" spans="2:4" x14ac:dyDescent="0.2"/>
    <row r="85" spans="2:4" x14ac:dyDescent="0.2"/>
    <row r="86" spans="2:4" x14ac:dyDescent="0.2"/>
    <row r="87" spans="2:4" ht="12.75" hidden="1" customHeight="1" x14ac:dyDescent="0.2"/>
    <row r="88" spans="2:4" ht="12.75" hidden="1" customHeight="1" x14ac:dyDescent="0.2"/>
    <row r="89" spans="2:4" ht="12.75" hidden="1" customHeight="1" x14ac:dyDescent="0.2"/>
    <row r="90" spans="2:4" ht="12.75" hidden="1" customHeight="1" x14ac:dyDescent="0.2"/>
    <row r="91" spans="2:4" ht="12.75" hidden="1" customHeight="1" x14ac:dyDescent="0.2"/>
    <row r="92" spans="2:4" ht="12.75" hidden="1" customHeight="1" x14ac:dyDescent="0.2"/>
    <row r="93" spans="2:4" ht="12.75" hidden="1" customHeight="1" x14ac:dyDescent="0.2"/>
    <row r="94" spans="2:4" ht="12.75" hidden="1" customHeight="1" x14ac:dyDescent="0.2"/>
    <row r="95" spans="2:4" ht="12.75" hidden="1" customHeight="1" x14ac:dyDescent="0.2"/>
    <row r="96" spans="2:4" ht="12.75" hidden="1" customHeight="1" x14ac:dyDescent="0.2"/>
    <row r="97" ht="12.75" hidden="1" customHeight="1" x14ac:dyDescent="0.2"/>
    <row r="98" ht="12.75" hidden="1" customHeight="1" x14ac:dyDescent="0.2"/>
    <row r="99" ht="12.75" hidden="1" customHeight="1" x14ac:dyDescent="0.2"/>
    <row r="100" ht="12.75" hidden="1" customHeight="1" x14ac:dyDescent="0.2"/>
    <row r="101" ht="12.75" hidden="1" customHeight="1" x14ac:dyDescent="0.2"/>
    <row r="102" ht="12.75" hidden="1" customHeight="1" x14ac:dyDescent="0.2"/>
  </sheetData>
  <phoneticPr fontId="0" type="noConversion"/>
  <hyperlinks>
    <hyperlink ref="C58" r:id="rId1" xr:uid="{00000000-0004-0000-0D00-000000000000}"/>
    <hyperlink ref="C68" r:id="rId2" display="https://sites.google.com/site/massdgic/home/net-metering" xr:uid="{00000000-0004-0000-0D00-000001000000}"/>
  </hyperlinks>
  <pageMargins left="0.7" right="0.7" top="0.75" bottom="0.75" header="0.3" footer="0.3"/>
  <pageSetup scale="66" fitToHeight="2" orientation="portrait" r:id="rId3"/>
  <drawing r:id="rId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rgb="FFFFFF00"/>
    <pageSetUpPr fitToPage="1"/>
  </sheetPr>
  <dimension ref="A1:AR33"/>
  <sheetViews>
    <sheetView showGridLines="0" zoomScale="75" zoomScaleNormal="75" workbookViewId="0">
      <selection activeCell="O22" sqref="O22"/>
    </sheetView>
  </sheetViews>
  <sheetFormatPr defaultColWidth="0" defaultRowHeight="14.25" zeroHeight="1" x14ac:dyDescent="0.2"/>
  <cols>
    <col min="1" max="1" width="3.5703125" style="70" customWidth="1"/>
    <col min="2" max="2" width="4.5703125" style="70" customWidth="1"/>
    <col min="3" max="3" width="31.85546875" style="70" customWidth="1"/>
    <col min="4" max="4" width="16.140625" style="70" bestFit="1" customWidth="1"/>
    <col min="5" max="5" width="23" style="70" bestFit="1" customWidth="1"/>
    <col min="6" max="6" width="23" style="70" customWidth="1"/>
    <col min="7" max="7" width="16" style="70" customWidth="1"/>
    <col min="8" max="8" width="16.5703125" style="70" customWidth="1"/>
    <col min="9" max="9" width="13.5703125" style="70" customWidth="1"/>
    <col min="10" max="10" width="15.140625" style="70" bestFit="1" customWidth="1"/>
    <col min="11" max="20" width="17.140625" style="70" customWidth="1"/>
    <col min="21" max="22" width="9.140625" style="70" customWidth="1"/>
    <col min="23" max="44" width="0" style="70" hidden="1" customWidth="1"/>
    <col min="45" max="16384" width="9.140625" style="70" hidden="1"/>
  </cols>
  <sheetData>
    <row r="1" spans="2:21" ht="15" thickBot="1" x14ac:dyDescent="0.25"/>
    <row r="2" spans="2:21" ht="14.1" customHeight="1" x14ac:dyDescent="0.2">
      <c r="B2" s="72"/>
      <c r="C2" s="332"/>
      <c r="D2" s="332"/>
      <c r="E2" s="332"/>
      <c r="F2" s="73"/>
      <c r="G2" s="73"/>
      <c r="H2" s="73"/>
      <c r="I2" s="73"/>
      <c r="J2" s="73"/>
      <c r="K2" s="73"/>
      <c r="L2" s="73"/>
      <c r="M2" s="73"/>
      <c r="N2" s="73"/>
      <c r="O2" s="73"/>
      <c r="P2" s="73"/>
      <c r="Q2" s="73"/>
      <c r="R2" s="73"/>
      <c r="S2" s="73"/>
      <c r="T2" s="73"/>
      <c r="U2" s="75"/>
    </row>
    <row r="3" spans="2:21" ht="25.5" customHeight="1" x14ac:dyDescent="0.4">
      <c r="B3" s="76"/>
      <c r="C3" s="333" t="s">
        <v>351</v>
      </c>
      <c r="D3" s="112"/>
      <c r="E3" s="112"/>
      <c r="F3" s="100"/>
      <c r="G3" s="100"/>
      <c r="H3" s="100"/>
      <c r="I3" s="100"/>
      <c r="J3" s="100"/>
      <c r="K3" s="100"/>
      <c r="L3" s="100"/>
      <c r="M3" s="100"/>
      <c r="N3" s="100"/>
      <c r="O3" s="100"/>
      <c r="P3" s="100"/>
      <c r="Q3" s="100"/>
      <c r="R3" s="100"/>
      <c r="S3" s="100"/>
      <c r="T3" s="100"/>
      <c r="U3" s="77"/>
    </row>
    <row r="4" spans="2:21" ht="24.75" customHeight="1" x14ac:dyDescent="0.2">
      <c r="B4" s="76"/>
      <c r="C4" s="366" t="s">
        <v>352</v>
      </c>
      <c r="D4" s="112"/>
      <c r="E4" s="112"/>
      <c r="F4" s="100"/>
      <c r="G4" s="100"/>
      <c r="H4" s="100"/>
      <c r="I4" s="100"/>
      <c r="J4" s="100"/>
      <c r="K4" s="100"/>
      <c r="L4" s="100"/>
      <c r="M4" s="100"/>
      <c r="N4" s="100"/>
      <c r="O4" s="100"/>
      <c r="P4" s="100"/>
      <c r="Q4" s="100"/>
      <c r="R4" s="100"/>
      <c r="S4" s="100"/>
      <c r="T4" s="100"/>
      <c r="U4" s="77"/>
    </row>
    <row r="5" spans="2:21" ht="21" customHeight="1" x14ac:dyDescent="0.2">
      <c r="B5" s="76"/>
      <c r="C5" s="334" t="s">
        <v>353</v>
      </c>
      <c r="D5" s="335"/>
      <c r="E5" s="335"/>
      <c r="F5" s="88"/>
      <c r="G5" s="88"/>
      <c r="H5" s="88"/>
      <c r="I5" s="88"/>
      <c r="J5" s="88"/>
      <c r="K5" s="88"/>
      <c r="L5" s="88"/>
      <c r="M5" s="88"/>
      <c r="N5" s="88"/>
      <c r="O5" s="88"/>
      <c r="P5" s="88"/>
      <c r="Q5" s="88"/>
      <c r="R5" s="88"/>
      <c r="S5" s="88"/>
      <c r="T5" s="88"/>
      <c r="U5" s="77"/>
    </row>
    <row r="6" spans="2:21" s="334" customFormat="1" ht="43.35" customHeight="1" x14ac:dyDescent="0.2">
      <c r="B6" s="336"/>
      <c r="C6" s="1043" t="s">
        <v>114</v>
      </c>
      <c r="D6" s="1044"/>
      <c r="E6" s="1044"/>
      <c r="F6" s="1044"/>
      <c r="G6" s="1043" t="s">
        <v>354</v>
      </c>
      <c r="H6" s="1044"/>
      <c r="I6" s="1041" t="s">
        <v>355</v>
      </c>
      <c r="J6" s="1042"/>
      <c r="K6" s="1043" t="s">
        <v>356</v>
      </c>
      <c r="L6" s="1044"/>
      <c r="M6" s="1045"/>
      <c r="N6" s="1046" t="s">
        <v>265</v>
      </c>
      <c r="O6" s="1046"/>
      <c r="P6" s="1046"/>
      <c r="Q6" s="1046"/>
      <c r="R6" s="1046"/>
      <c r="S6" s="1047" t="s">
        <v>357</v>
      </c>
      <c r="T6" s="1047"/>
      <c r="U6" s="337"/>
    </row>
    <row r="7" spans="2:21" s="86" customFormat="1" ht="108" customHeight="1" x14ac:dyDescent="0.2">
      <c r="B7" s="81"/>
      <c r="C7" s="540" t="s">
        <v>358</v>
      </c>
      <c r="D7" s="540" t="s">
        <v>359</v>
      </c>
      <c r="E7" s="540" t="s">
        <v>360</v>
      </c>
      <c r="F7" s="540" t="s">
        <v>361</v>
      </c>
      <c r="G7" s="540" t="s">
        <v>362</v>
      </c>
      <c r="H7" s="540" t="s">
        <v>363</v>
      </c>
      <c r="I7" s="540" t="s">
        <v>364</v>
      </c>
      <c r="J7" s="540" t="s">
        <v>365</v>
      </c>
      <c r="K7" s="540" t="s">
        <v>366</v>
      </c>
      <c r="L7" s="540" t="s">
        <v>367</v>
      </c>
      <c r="M7" s="540" t="s">
        <v>368</v>
      </c>
      <c r="N7" s="540" t="s">
        <v>369</v>
      </c>
      <c r="O7" s="540" t="s">
        <v>280</v>
      </c>
      <c r="P7" s="540" t="s">
        <v>281</v>
      </c>
      <c r="Q7" s="540" t="s">
        <v>370</v>
      </c>
      <c r="R7" s="540" t="s">
        <v>283</v>
      </c>
      <c r="S7" s="540" t="s">
        <v>284</v>
      </c>
      <c r="T7" s="540" t="s">
        <v>285</v>
      </c>
      <c r="U7" s="85"/>
    </row>
    <row r="8" spans="2:21" ht="63" x14ac:dyDescent="0.2">
      <c r="B8" s="76"/>
      <c r="C8" s="520" t="s">
        <v>371</v>
      </c>
      <c r="D8" s="338" t="s">
        <v>372</v>
      </c>
      <c r="E8" s="338" t="s">
        <v>373</v>
      </c>
      <c r="F8" s="338" t="s">
        <v>374</v>
      </c>
      <c r="G8" s="339" t="s">
        <v>252</v>
      </c>
      <c r="H8" s="338">
        <v>2016</v>
      </c>
      <c r="I8" s="340">
        <v>26.5</v>
      </c>
      <c r="J8" s="341">
        <v>26507</v>
      </c>
      <c r="K8" s="342"/>
      <c r="L8" s="342"/>
      <c r="M8" s="342"/>
      <c r="N8" s="343">
        <f>(H8*0.15)</f>
        <v>302.39999999999998</v>
      </c>
      <c r="O8" s="343">
        <v>439632</v>
      </c>
      <c r="P8" s="343">
        <v>0</v>
      </c>
      <c r="Q8" s="343">
        <v>337500</v>
      </c>
      <c r="R8" s="343">
        <f>(O8-Q8)</f>
        <v>102132</v>
      </c>
      <c r="S8" s="343" t="s">
        <v>375</v>
      </c>
      <c r="T8" s="344" t="s">
        <v>376</v>
      </c>
      <c r="U8" s="77"/>
    </row>
    <row r="9" spans="2:21" s="347" customFormat="1" ht="31.5" x14ac:dyDescent="0.25">
      <c r="B9" s="348"/>
      <c r="C9" s="349" t="s">
        <v>834</v>
      </c>
      <c r="D9" s="717" t="s">
        <v>478</v>
      </c>
      <c r="E9" s="351" t="s">
        <v>484</v>
      </c>
      <c r="F9" s="351" t="s">
        <v>374</v>
      </c>
      <c r="G9" s="352" t="s">
        <v>252</v>
      </c>
      <c r="H9" s="351">
        <v>2015</v>
      </c>
      <c r="I9" s="353">
        <v>281</v>
      </c>
      <c r="J9" s="353">
        <v>29956</v>
      </c>
      <c r="K9" s="353"/>
      <c r="L9" s="353"/>
      <c r="M9" s="353"/>
      <c r="N9" s="345"/>
      <c r="O9" s="345">
        <v>431800</v>
      </c>
      <c r="P9" s="345">
        <v>0</v>
      </c>
      <c r="Q9" s="345">
        <v>180000</v>
      </c>
      <c r="R9" s="345">
        <v>251800</v>
      </c>
      <c r="S9" s="345" t="s">
        <v>835</v>
      </c>
      <c r="T9" s="346"/>
      <c r="U9" s="354"/>
    </row>
    <row r="10" spans="2:21" s="347" customFormat="1" ht="31.5" x14ac:dyDescent="0.25">
      <c r="B10" s="348"/>
      <c r="C10" s="349" t="s">
        <v>847</v>
      </c>
      <c r="D10" s="717" t="s">
        <v>372</v>
      </c>
      <c r="E10" s="351" t="s">
        <v>373</v>
      </c>
      <c r="F10" s="351" t="s">
        <v>374</v>
      </c>
      <c r="G10" s="352" t="s">
        <v>252</v>
      </c>
      <c r="H10" s="351">
        <v>2016</v>
      </c>
      <c r="I10" s="353">
        <v>60</v>
      </c>
      <c r="J10" s="353">
        <v>6871</v>
      </c>
      <c r="K10" s="353"/>
      <c r="L10" s="353"/>
      <c r="M10" s="353"/>
      <c r="N10" s="345"/>
      <c r="O10" s="345"/>
      <c r="P10" s="345">
        <v>0</v>
      </c>
      <c r="Q10" s="345"/>
      <c r="R10" s="345"/>
      <c r="S10" s="345"/>
      <c r="T10" s="346"/>
      <c r="U10" s="354"/>
    </row>
    <row r="11" spans="2:21" s="347" customFormat="1" ht="15.75" x14ac:dyDescent="0.25">
      <c r="B11" s="348"/>
      <c r="C11" s="349"/>
      <c r="D11" s="350"/>
      <c r="E11" s="351"/>
      <c r="F11" s="351"/>
      <c r="G11" s="352"/>
      <c r="H11" s="351"/>
      <c r="I11" s="353"/>
      <c r="J11" s="353"/>
      <c r="K11" s="353"/>
      <c r="L11" s="353"/>
      <c r="M11" s="353"/>
      <c r="N11" s="345"/>
      <c r="O11" s="345"/>
      <c r="P11" s="345"/>
      <c r="Q11" s="345"/>
      <c r="R11" s="345"/>
      <c r="S11" s="345"/>
      <c r="T11" s="346"/>
      <c r="U11" s="354"/>
    </row>
    <row r="12" spans="2:21" s="347" customFormat="1" ht="15.75" x14ac:dyDescent="0.25">
      <c r="B12" s="348"/>
      <c r="C12" s="349"/>
      <c r="D12" s="350"/>
      <c r="E12" s="351"/>
      <c r="F12" s="351"/>
      <c r="G12" s="352"/>
      <c r="H12" s="351"/>
      <c r="I12" s="353"/>
      <c r="J12" s="353"/>
      <c r="K12" s="353"/>
      <c r="L12" s="353"/>
      <c r="M12" s="353"/>
      <c r="N12" s="345"/>
      <c r="O12" s="345"/>
      <c r="P12" s="345"/>
      <c r="Q12" s="345"/>
      <c r="R12" s="345"/>
      <c r="S12" s="345"/>
      <c r="T12" s="346"/>
      <c r="U12" s="354"/>
    </row>
    <row r="13" spans="2:21" s="347" customFormat="1" ht="15.75" x14ac:dyDescent="0.25">
      <c r="B13" s="348"/>
      <c r="C13" s="349"/>
      <c r="D13" s="350"/>
      <c r="E13" s="351"/>
      <c r="F13" s="351"/>
      <c r="G13" s="352"/>
      <c r="H13" s="351"/>
      <c r="I13" s="353"/>
      <c r="J13" s="353"/>
      <c r="K13" s="353"/>
      <c r="L13" s="353"/>
      <c r="M13" s="353"/>
      <c r="N13" s="345"/>
      <c r="O13" s="345"/>
      <c r="P13" s="345"/>
      <c r="Q13" s="345"/>
      <c r="R13" s="345"/>
      <c r="S13" s="345"/>
      <c r="T13" s="346"/>
      <c r="U13" s="354"/>
    </row>
    <row r="14" spans="2:21" ht="15.75" x14ac:dyDescent="0.2">
      <c r="B14" s="76"/>
      <c r="C14" s="355"/>
      <c r="D14" s="355"/>
      <c r="E14" s="355"/>
      <c r="F14" s="355"/>
      <c r="G14" s="355"/>
      <c r="H14" s="356"/>
      <c r="I14" s="197"/>
      <c r="J14" s="197"/>
      <c r="K14" s="197"/>
      <c r="L14" s="197"/>
      <c r="M14" s="197"/>
      <c r="N14" s="345"/>
      <c r="O14" s="345"/>
      <c r="P14" s="345"/>
      <c r="Q14" s="345"/>
      <c r="R14" s="345"/>
      <c r="S14" s="345"/>
      <c r="T14" s="346"/>
      <c r="U14" s="77"/>
    </row>
    <row r="15" spans="2:21" ht="42.75" x14ac:dyDescent="0.2">
      <c r="B15" s="76"/>
      <c r="C15" s="355" t="s">
        <v>117</v>
      </c>
      <c r="D15" s="355"/>
      <c r="E15" s="355"/>
      <c r="F15" s="355"/>
      <c r="G15" s="355"/>
      <c r="H15" s="356"/>
      <c r="I15" s="197"/>
      <c r="J15" s="197"/>
      <c r="K15" s="197"/>
      <c r="L15" s="197"/>
      <c r="M15" s="197"/>
      <c r="N15" s="345"/>
      <c r="O15" s="345"/>
      <c r="P15" s="345"/>
      <c r="Q15" s="345"/>
      <c r="R15" s="345"/>
      <c r="S15" s="345"/>
      <c r="T15" s="346"/>
      <c r="U15" s="77"/>
    </row>
    <row r="16" spans="2:21" ht="41.25" customHeight="1" thickBot="1" x14ac:dyDescent="0.3">
      <c r="B16" s="76"/>
      <c r="C16" s="357" t="s">
        <v>377</v>
      </c>
      <c r="D16" s="358"/>
      <c r="E16" s="359"/>
      <c r="F16" s="359"/>
      <c r="G16" s="358"/>
      <c r="H16" s="358"/>
      <c r="I16" s="360"/>
      <c r="J16" s="361">
        <f>SUM(J9:J15)</f>
        <v>36827</v>
      </c>
      <c r="K16" s="361">
        <f t="shared" ref="K16:M16" si="0">SUM(K9:K15)</f>
        <v>0</v>
      </c>
      <c r="L16" s="361">
        <f t="shared" si="0"/>
        <v>0</v>
      </c>
      <c r="M16" s="361">
        <f t="shared" si="0"/>
        <v>0</v>
      </c>
      <c r="N16" s="345"/>
      <c r="O16" s="345"/>
      <c r="P16" s="345"/>
      <c r="Q16" s="345"/>
      <c r="R16" s="345"/>
      <c r="S16" s="345"/>
      <c r="T16" s="346"/>
      <c r="U16" s="77"/>
    </row>
    <row r="17" spans="2:21" ht="34.5" customHeight="1" thickBot="1" x14ac:dyDescent="0.3">
      <c r="B17" s="76"/>
      <c r="C17" s="330" t="s">
        <v>378</v>
      </c>
      <c r="D17" s="209"/>
      <c r="E17" s="331"/>
      <c r="F17" s="331"/>
      <c r="G17" s="209"/>
      <c r="H17" s="362"/>
      <c r="I17" s="190"/>
      <c r="J17" s="363">
        <f>J16*0.003412</f>
        <v>125.653724</v>
      </c>
      <c r="K17" s="363"/>
      <c r="L17" s="363">
        <f>L16*0.003412</f>
        <v>0</v>
      </c>
      <c r="M17" s="363">
        <f>M16*0.003412</f>
        <v>0</v>
      </c>
      <c r="N17" s="361">
        <f>SUM(N9:N16)</f>
        <v>0</v>
      </c>
      <c r="O17" s="361">
        <f t="shared" ref="O17:R17" si="1">SUM(O9:O16)</f>
        <v>431800</v>
      </c>
      <c r="P17" s="361">
        <f t="shared" si="1"/>
        <v>0</v>
      </c>
      <c r="Q17" s="361">
        <f t="shared" si="1"/>
        <v>180000</v>
      </c>
      <c r="R17" s="361">
        <f t="shared" si="1"/>
        <v>251800</v>
      </c>
      <c r="S17" s="87"/>
      <c r="T17" s="88"/>
      <c r="U17" s="77"/>
    </row>
    <row r="18" spans="2:21" ht="15" hidden="1" customHeight="1" x14ac:dyDescent="0.2">
      <c r="B18" s="91"/>
      <c r="C18" s="92"/>
      <c r="D18" s="92"/>
      <c r="E18" s="92"/>
      <c r="F18" s="92"/>
      <c r="G18" s="92"/>
      <c r="H18" s="92"/>
      <c r="I18" s="92"/>
      <c r="J18" s="92"/>
      <c r="K18" s="92"/>
      <c r="L18" s="92"/>
      <c r="M18" s="92"/>
      <c r="N18" s="92"/>
      <c r="O18" s="92"/>
      <c r="P18" s="92"/>
      <c r="Q18" s="92"/>
      <c r="R18" s="92"/>
      <c r="S18" s="92"/>
      <c r="T18" s="92"/>
      <c r="U18" s="94"/>
    </row>
    <row r="19" spans="2:21" ht="14.25" hidden="1" customHeight="1" x14ac:dyDescent="0.25">
      <c r="B19" s="76"/>
      <c r="C19" s="364"/>
      <c r="D19" s="201"/>
      <c r="E19" s="329"/>
      <c r="F19" s="329"/>
      <c r="G19" s="201"/>
      <c r="H19" s="201"/>
      <c r="I19" s="202"/>
      <c r="J19" s="203"/>
      <c r="K19" s="203"/>
      <c r="L19" s="203"/>
      <c r="M19" s="203"/>
      <c r="N19" s="365"/>
      <c r="O19" s="365"/>
      <c r="P19" s="365"/>
      <c r="Q19" s="365"/>
      <c r="R19" s="365"/>
      <c r="S19" s="365"/>
      <c r="T19" s="365"/>
      <c r="U19" s="77"/>
    </row>
    <row r="20" spans="2:21" ht="15" thickBot="1" x14ac:dyDescent="0.25">
      <c r="B20" s="91"/>
      <c r="C20" s="92"/>
      <c r="D20" s="92"/>
      <c r="E20" s="92"/>
      <c r="F20" s="92"/>
      <c r="G20" s="92"/>
      <c r="H20" s="92"/>
      <c r="I20" s="92"/>
      <c r="J20" s="92"/>
      <c r="K20" s="92"/>
      <c r="L20" s="92"/>
      <c r="M20" s="92"/>
      <c r="N20" s="92"/>
      <c r="O20" s="92"/>
      <c r="P20" s="92"/>
      <c r="Q20" s="92"/>
      <c r="R20" s="92"/>
      <c r="S20" s="92"/>
      <c r="T20" s="92"/>
      <c r="U20" s="94"/>
    </row>
    <row r="21" spans="2:21" x14ac:dyDescent="0.2"/>
    <row r="22" spans="2:21" x14ac:dyDescent="0.2"/>
    <row r="23" spans="2:21" x14ac:dyDescent="0.2"/>
    <row r="24" spans="2:21" x14ac:dyDescent="0.2"/>
    <row r="25" spans="2:21" x14ac:dyDescent="0.2"/>
    <row r="26" spans="2:21" x14ac:dyDescent="0.2"/>
    <row r="27" spans="2:21" x14ac:dyDescent="0.2"/>
    <row r="28" spans="2:21" x14ac:dyDescent="0.2"/>
    <row r="29" spans="2:21" x14ac:dyDescent="0.2"/>
    <row r="30" spans="2:21" x14ac:dyDescent="0.2"/>
    <row r="31" spans="2:21" x14ac:dyDescent="0.2"/>
    <row r="32" spans="2:21" x14ac:dyDescent="0.2"/>
    <row r="33" x14ac:dyDescent="0.2"/>
  </sheetData>
  <sheetProtection insertRows="0"/>
  <mergeCells count="6">
    <mergeCell ref="I6:J6"/>
    <mergeCell ref="K6:M6"/>
    <mergeCell ref="N6:R6"/>
    <mergeCell ref="S6:T6"/>
    <mergeCell ref="C6:F6"/>
    <mergeCell ref="G6:H6"/>
  </mergeCells>
  <phoneticPr fontId="13" type="noConversion"/>
  <dataValidations count="4">
    <dataValidation type="list" allowBlank="1" showInputMessage="1" showErrorMessage="1" sqref="D8:D15" xr:uid="{00000000-0002-0000-0E00-000000000000}">
      <formula1>ResourceType.</formula1>
    </dataValidation>
    <dataValidation type="list" allowBlank="1" showInputMessage="1" showErrorMessage="1" sqref="E8:E15" xr:uid="{00000000-0002-0000-0E00-000001000000}">
      <formula1>SiteType.</formula1>
    </dataValidation>
    <dataValidation type="list" allowBlank="1" showInputMessage="1" showErrorMessage="1" sqref="F8:F15" xr:uid="{00000000-0002-0000-0E00-000002000000}">
      <formula1>Procuring.Energy.Output</formula1>
    </dataValidation>
    <dataValidation type="list" allowBlank="1" showInputMessage="1" showErrorMessage="1" sqref="G8:G15" xr:uid="{00000000-0002-0000-0E00-000003000000}">
      <formula1>Status</formula1>
    </dataValidation>
  </dataValidations>
  <pageMargins left="0.75" right="0.75" top="1" bottom="1" header="0.5" footer="0.5"/>
  <pageSetup scale="5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11">
    <tabColor rgb="FFFFFF00"/>
    <pageSetUpPr fitToPage="1"/>
  </sheetPr>
  <dimension ref="A1:M45"/>
  <sheetViews>
    <sheetView showGridLines="0" topLeftCell="A13" zoomScale="90" zoomScaleNormal="90" workbookViewId="0">
      <selection activeCell="K7" sqref="K7"/>
    </sheetView>
  </sheetViews>
  <sheetFormatPr defaultColWidth="0" defaultRowHeight="12.75" zeroHeight="1" x14ac:dyDescent="0.2"/>
  <cols>
    <col min="1" max="2" width="3.140625" style="25" customWidth="1"/>
    <col min="3" max="3" width="22.28515625" style="25" customWidth="1"/>
    <col min="4" max="4" width="14.5703125" style="25" customWidth="1"/>
    <col min="5" max="5" width="11.42578125" style="25" customWidth="1"/>
    <col min="6" max="6" width="14" style="25" customWidth="1"/>
    <col min="7" max="7" width="14.7109375" style="25" customWidth="1"/>
    <col min="8" max="8" width="12.5703125" style="25" customWidth="1"/>
    <col min="9" max="9" width="14" style="25" customWidth="1"/>
    <col min="10" max="10" width="12.85546875" style="25" customWidth="1"/>
    <col min="11" max="11" width="17.7109375" style="25" customWidth="1"/>
    <col min="12" max="12" width="6.85546875" style="25" customWidth="1"/>
    <col min="13" max="13" width="3.28515625" style="25" customWidth="1"/>
    <col min="14" max="16384" width="9.140625" style="25" hidden="1"/>
  </cols>
  <sheetData>
    <row r="1" spans="1:13" ht="13.5" thickBot="1" x14ac:dyDescent="0.25"/>
    <row r="2" spans="1:13" x14ac:dyDescent="0.2">
      <c r="B2" s="16"/>
      <c r="C2" s="17"/>
      <c r="D2" s="17"/>
      <c r="E2" s="17"/>
      <c r="F2" s="17"/>
      <c r="G2" s="17"/>
      <c r="H2" s="17"/>
      <c r="I2" s="17"/>
      <c r="J2" s="17"/>
      <c r="K2" s="17"/>
      <c r="L2" s="18"/>
    </row>
    <row r="3" spans="1:13" ht="35.450000000000003" customHeight="1" x14ac:dyDescent="0.2">
      <c r="B3" s="19"/>
      <c r="C3" s="700" t="s">
        <v>379</v>
      </c>
      <c r="D3" s="701"/>
      <c r="E3" s="701"/>
      <c r="F3" s="702"/>
      <c r="G3" s="20"/>
      <c r="H3" s="20"/>
      <c r="I3" s="20"/>
      <c r="J3" s="20"/>
      <c r="K3" s="20"/>
      <c r="L3" s="21"/>
    </row>
    <row r="4" spans="1:13" ht="40.15" customHeight="1" thickBot="1" x14ac:dyDescent="0.25">
      <c r="B4" s="19"/>
      <c r="C4" s="409" t="s">
        <v>380</v>
      </c>
      <c r="D4" s="20"/>
      <c r="E4" s="20"/>
      <c r="F4" s="20"/>
      <c r="G4" s="20"/>
      <c r="H4" s="20"/>
      <c r="I4" s="20"/>
      <c r="J4" s="20"/>
      <c r="K4" s="20"/>
      <c r="L4" s="21"/>
    </row>
    <row r="5" spans="1:13" ht="24" customHeight="1" thickBot="1" x14ac:dyDescent="0.25">
      <c r="A5" s="413"/>
      <c r="B5" s="19"/>
      <c r="C5" s="1058" t="s">
        <v>82</v>
      </c>
      <c r="D5" s="1058"/>
      <c r="E5" s="1058"/>
      <c r="F5" s="1058"/>
      <c r="G5" s="1058"/>
      <c r="H5" s="1058"/>
      <c r="I5" s="1058"/>
      <c r="J5" s="210"/>
      <c r="K5" s="525" t="s">
        <v>450</v>
      </c>
      <c r="L5" s="21"/>
    </row>
    <row r="6" spans="1:13" s="411" customFormat="1" ht="15" customHeight="1" thickBot="1" x14ac:dyDescent="0.25">
      <c r="A6" s="413"/>
      <c r="B6" s="47"/>
      <c r="C6" s="412"/>
      <c r="D6" s="412"/>
      <c r="E6" s="412"/>
      <c r="F6" s="412"/>
      <c r="G6" s="412"/>
      <c r="H6" s="412"/>
      <c r="I6" s="412"/>
      <c r="K6" s="482"/>
      <c r="L6" s="48"/>
      <c r="M6" s="25"/>
    </row>
    <row r="7" spans="1:13" ht="19.899999999999999" customHeight="1" thickBot="1" x14ac:dyDescent="0.25">
      <c r="A7" s="413"/>
      <c r="B7" s="19"/>
      <c r="C7" s="1058" t="s">
        <v>83</v>
      </c>
      <c r="D7" s="1058"/>
      <c r="E7" s="1058"/>
      <c r="F7" s="1058"/>
      <c r="G7" s="1058"/>
      <c r="H7" s="1058"/>
      <c r="I7" s="1058"/>
      <c r="J7" s="210"/>
      <c r="K7" s="524" t="s">
        <v>450</v>
      </c>
      <c r="L7" s="21"/>
    </row>
    <row r="8" spans="1:13" ht="13.9" customHeight="1" x14ac:dyDescent="0.2">
      <c r="B8" s="19"/>
      <c r="C8" s="1062" t="s">
        <v>381</v>
      </c>
      <c r="D8" s="1062"/>
      <c r="E8" s="1062"/>
      <c r="F8" s="1062"/>
      <c r="G8" s="1062"/>
      <c r="H8" s="1062"/>
      <c r="I8" s="1062"/>
      <c r="J8" s="412"/>
      <c r="K8" s="412"/>
      <c r="L8" s="21"/>
    </row>
    <row r="9" spans="1:13" ht="10.15" customHeight="1" x14ac:dyDescent="0.2">
      <c r="B9" s="19"/>
      <c r="C9" s="412"/>
      <c r="D9" s="412"/>
      <c r="E9" s="412"/>
      <c r="F9" s="412"/>
      <c r="G9" s="412"/>
      <c r="H9" s="412"/>
      <c r="I9" s="412"/>
      <c r="J9" s="411"/>
      <c r="K9" s="410"/>
      <c r="L9" s="21"/>
    </row>
    <row r="10" spans="1:13" ht="66.75" customHeight="1" x14ac:dyDescent="0.2">
      <c r="B10" s="19"/>
      <c r="C10" s="1060" t="s">
        <v>382</v>
      </c>
      <c r="D10" s="1061"/>
      <c r="E10" s="1061"/>
      <c r="F10" s="1061"/>
      <c r="G10" s="1061"/>
      <c r="H10" s="1061"/>
      <c r="I10" s="1061"/>
      <c r="J10" s="1061"/>
      <c r="K10" s="1061"/>
      <c r="L10" s="21"/>
    </row>
    <row r="11" spans="1:13" ht="15" customHeight="1" thickBot="1" x14ac:dyDescent="0.25">
      <c r="B11" s="19"/>
      <c r="C11" s="414"/>
      <c r="D11" s="415"/>
      <c r="E11" s="415"/>
      <c r="F11" s="415"/>
      <c r="G11" s="415"/>
      <c r="H11" s="415"/>
      <c r="I11" s="415"/>
      <c r="J11" s="415"/>
      <c r="K11" s="486"/>
      <c r="L11" s="21"/>
    </row>
    <row r="12" spans="1:13" ht="13.5" thickBot="1" x14ac:dyDescent="0.25">
      <c r="B12" s="19"/>
      <c r="C12" s="1049" t="s">
        <v>654</v>
      </c>
      <c r="D12" s="1049"/>
      <c r="E12" s="1049"/>
      <c r="F12" s="1049"/>
      <c r="G12" s="1049"/>
      <c r="H12" s="1049"/>
      <c r="I12" s="1049"/>
      <c r="J12" s="210"/>
      <c r="K12" s="524" t="s">
        <v>450</v>
      </c>
      <c r="L12" s="21"/>
    </row>
    <row r="13" spans="1:13" ht="19.149999999999999" customHeight="1" thickBot="1" x14ac:dyDescent="0.25">
      <c r="B13" s="19"/>
      <c r="C13" s="20"/>
      <c r="D13" s="20"/>
      <c r="E13" s="20"/>
      <c r="F13" s="20"/>
      <c r="G13" s="20"/>
      <c r="H13" s="560"/>
      <c r="I13" s="20"/>
      <c r="J13" s="20"/>
      <c r="K13" s="370"/>
      <c r="L13" s="21"/>
    </row>
    <row r="14" spans="1:13" ht="13.5" thickBot="1" x14ac:dyDescent="0.25">
      <c r="B14" s="19"/>
      <c r="C14" s="1059" t="s">
        <v>657</v>
      </c>
      <c r="D14" s="1059"/>
      <c r="E14" s="1059"/>
      <c r="F14" s="1059"/>
      <c r="G14" s="1059"/>
      <c r="H14" s="1059"/>
      <c r="I14" s="1059"/>
      <c r="J14" s="20"/>
      <c r="K14" s="524" t="s">
        <v>450</v>
      </c>
      <c r="L14" s="21"/>
    </row>
    <row r="15" spans="1:13" ht="17.45" customHeight="1" thickBot="1" x14ac:dyDescent="0.25">
      <c r="B15" s="19"/>
      <c r="C15" s="20"/>
      <c r="D15" s="20"/>
      <c r="E15" s="20"/>
      <c r="F15" s="20"/>
      <c r="G15" s="20"/>
      <c r="H15" s="20"/>
      <c r="I15" s="20"/>
      <c r="J15" s="20"/>
      <c r="K15" s="370"/>
      <c r="L15" s="21"/>
    </row>
    <row r="16" spans="1:13" ht="13.5" thickBot="1" x14ac:dyDescent="0.25">
      <c r="B16" s="19"/>
      <c r="C16" s="1049" t="s">
        <v>658</v>
      </c>
      <c r="D16" s="1049"/>
      <c r="E16" s="1049"/>
      <c r="F16" s="1049"/>
      <c r="G16" s="1049"/>
      <c r="H16" s="1049"/>
      <c r="I16" s="1049"/>
      <c r="J16" s="210"/>
      <c r="K16" s="524" t="s">
        <v>407</v>
      </c>
      <c r="L16" s="21"/>
    </row>
    <row r="17" spans="2:12" ht="16.899999999999999" customHeight="1" thickBot="1" x14ac:dyDescent="0.25">
      <c r="B17" s="19"/>
      <c r="C17" s="20"/>
      <c r="D17" s="20"/>
      <c r="E17" s="20"/>
      <c r="F17" s="20"/>
      <c r="G17" s="20"/>
      <c r="H17" s="20"/>
      <c r="I17" s="20"/>
      <c r="J17" s="20"/>
      <c r="K17" s="370"/>
      <c r="L17" s="21"/>
    </row>
    <row r="18" spans="2:12" ht="13.5" thickBot="1" x14ac:dyDescent="0.25">
      <c r="B18" s="19"/>
      <c r="C18" s="1049" t="s">
        <v>659</v>
      </c>
      <c r="D18" s="1049"/>
      <c r="E18" s="1049"/>
      <c r="F18" s="1049"/>
      <c r="G18" s="1049"/>
      <c r="H18" s="1049"/>
      <c r="I18" s="1049"/>
      <c r="J18" s="210"/>
      <c r="K18" s="524" t="s">
        <v>450</v>
      </c>
      <c r="L18" s="21"/>
    </row>
    <row r="19" spans="2:12" ht="12.75" customHeight="1" thickBot="1" x14ac:dyDescent="0.25">
      <c r="B19" s="19"/>
      <c r="C19" s="20"/>
      <c r="D19" s="20"/>
      <c r="E19" s="20"/>
      <c r="F19" s="20"/>
      <c r="G19" s="20"/>
      <c r="H19" s="20"/>
      <c r="I19" s="20"/>
      <c r="J19" s="20"/>
      <c r="K19" s="370"/>
      <c r="L19" s="21"/>
    </row>
    <row r="20" spans="2:12" ht="18" customHeight="1" thickBot="1" x14ac:dyDescent="0.25">
      <c r="B20" s="19"/>
      <c r="C20" s="1049" t="s">
        <v>660</v>
      </c>
      <c r="D20" s="1049"/>
      <c r="E20" s="1049"/>
      <c r="F20" s="1049"/>
      <c r="G20" s="1049"/>
      <c r="H20" s="1049"/>
      <c r="I20" s="1049"/>
      <c r="J20" s="210"/>
      <c r="K20" s="524" t="s">
        <v>450</v>
      </c>
      <c r="L20" s="21"/>
    </row>
    <row r="21" spans="2:12" ht="13.9" customHeight="1" thickBot="1" x14ac:dyDescent="0.25">
      <c r="B21" s="19"/>
      <c r="C21" s="20"/>
      <c r="D21" s="20"/>
      <c r="E21" s="20"/>
      <c r="F21" s="20"/>
      <c r="G21" s="20"/>
      <c r="H21" s="20"/>
      <c r="I21" s="20"/>
      <c r="J21" s="20"/>
      <c r="K21" s="20"/>
      <c r="L21" s="21"/>
    </row>
    <row r="22" spans="2:12" ht="18" customHeight="1" thickBot="1" x14ac:dyDescent="0.25">
      <c r="B22" s="19"/>
      <c r="C22" s="1049" t="s">
        <v>661</v>
      </c>
      <c r="D22" s="1049"/>
      <c r="E22" s="1049"/>
      <c r="F22" s="1049"/>
      <c r="G22" s="1049"/>
      <c r="H22" s="1049"/>
      <c r="I22" s="1049"/>
      <c r="J22" s="519"/>
      <c r="K22" s="524" t="s">
        <v>450</v>
      </c>
      <c r="L22" s="21"/>
    </row>
    <row r="23" spans="2:12" ht="21" customHeight="1" x14ac:dyDescent="0.2">
      <c r="B23" s="19"/>
      <c r="C23" s="1048" t="s">
        <v>383</v>
      </c>
      <c r="D23" s="1048"/>
      <c r="E23" s="1048"/>
      <c r="F23" s="1048"/>
      <c r="G23" s="1048"/>
      <c r="H23" s="1048"/>
      <c r="I23" s="1048"/>
      <c r="J23" s="1048"/>
      <c r="K23" s="1048"/>
      <c r="L23" s="21"/>
    </row>
    <row r="24" spans="2:12" ht="14.45" customHeight="1" x14ac:dyDescent="0.2">
      <c r="B24" s="19"/>
      <c r="C24" s="1048"/>
      <c r="D24" s="1048"/>
      <c r="E24" s="1048"/>
      <c r="F24" s="1048"/>
      <c r="G24" s="1048"/>
      <c r="H24" s="1048"/>
      <c r="I24" s="1048"/>
      <c r="J24" s="1048"/>
      <c r="K24" s="1048"/>
      <c r="L24" s="21"/>
    </row>
    <row r="25" spans="2:12" ht="50.1" customHeight="1" x14ac:dyDescent="0.2">
      <c r="B25" s="19"/>
      <c r="C25" s="1050"/>
      <c r="D25" s="1051"/>
      <c r="E25" s="1051"/>
      <c r="F25" s="1051"/>
      <c r="G25" s="1051"/>
      <c r="H25" s="1051"/>
      <c r="I25" s="1051"/>
      <c r="J25" s="1051"/>
      <c r="K25" s="1052"/>
      <c r="L25" s="21"/>
    </row>
    <row r="26" spans="2:12" ht="13.5" thickBot="1" x14ac:dyDescent="0.25">
      <c r="B26" s="19"/>
      <c r="C26" s="20"/>
      <c r="D26" s="20"/>
      <c r="E26" s="20"/>
      <c r="F26" s="20"/>
      <c r="G26" s="20"/>
      <c r="H26" s="20"/>
      <c r="I26" s="20"/>
      <c r="J26" s="20"/>
      <c r="K26" s="20"/>
      <c r="L26" s="21"/>
    </row>
    <row r="27" spans="2:12" ht="15" customHeight="1" thickBot="1" x14ac:dyDescent="0.25">
      <c r="B27" s="19"/>
      <c r="C27" s="1049" t="s">
        <v>384</v>
      </c>
      <c r="D27" s="1057"/>
      <c r="E27" s="1057"/>
      <c r="F27" s="1057"/>
      <c r="G27" s="1057"/>
      <c r="H27" s="1057"/>
      <c r="I27" s="1057"/>
      <c r="J27" s="519"/>
      <c r="K27" s="524" t="s">
        <v>450</v>
      </c>
      <c r="L27" s="21"/>
    </row>
    <row r="28" spans="2:12" ht="18" customHeight="1" x14ac:dyDescent="0.2">
      <c r="B28" s="19"/>
      <c r="C28" s="1056" t="str">
        <f>IF(K27="Yes","Provide a narrative in the space below of the policies and programs that have been adopted to reduce fuel consumption in the yellow box below.","")</f>
        <v/>
      </c>
      <c r="D28" s="1056"/>
      <c r="E28" s="1056"/>
      <c r="F28" s="1056"/>
      <c r="G28" s="1056"/>
      <c r="H28" s="1056"/>
      <c r="I28" s="1056"/>
      <c r="J28" s="1056"/>
      <c r="K28" s="1056"/>
      <c r="L28" s="21"/>
    </row>
    <row r="29" spans="2:12" ht="15" customHeight="1" x14ac:dyDescent="0.2">
      <c r="B29" s="19"/>
      <c r="C29" s="20"/>
      <c r="D29" s="20"/>
      <c r="E29" s="20"/>
      <c r="F29" s="20"/>
      <c r="G29" s="20"/>
      <c r="H29" s="20"/>
      <c r="I29" s="20"/>
      <c r="J29" s="20"/>
      <c r="K29" s="20"/>
      <c r="L29" s="21"/>
    </row>
    <row r="30" spans="2:12" ht="67.5" customHeight="1" x14ac:dyDescent="0.2">
      <c r="B30" s="19"/>
      <c r="C30" s="1054"/>
      <c r="D30" s="1055"/>
      <c r="E30" s="1055"/>
      <c r="F30" s="1055"/>
      <c r="G30" s="1055"/>
      <c r="H30" s="1055"/>
      <c r="I30" s="1055"/>
      <c r="J30" s="1055"/>
      <c r="K30" s="1055"/>
      <c r="L30" s="21"/>
    </row>
    <row r="31" spans="2:12" x14ac:dyDescent="0.2">
      <c r="B31" s="19"/>
      <c r="C31" s="541"/>
      <c r="D31" s="541"/>
      <c r="E31" s="541"/>
      <c r="F31" s="541"/>
      <c r="G31" s="541"/>
      <c r="H31" s="541"/>
      <c r="I31" s="541"/>
      <c r="J31" s="541"/>
      <c r="K31" s="541"/>
      <c r="L31" s="21"/>
    </row>
    <row r="32" spans="2:12" ht="15.6" customHeight="1" x14ac:dyDescent="0.2">
      <c r="B32" s="19"/>
      <c r="C32" s="1056" t="str">
        <f>IF(K27="Yes","10) For communities that met Criterion 4 through alternative compliance, provide as a status regarding the success of these programs and policies.","")</f>
        <v/>
      </c>
      <c r="D32" s="1056"/>
      <c r="E32" s="1056"/>
      <c r="F32" s="1056"/>
      <c r="G32" s="1056"/>
      <c r="H32" s="1056"/>
      <c r="I32" s="1056"/>
      <c r="J32" s="1056"/>
      <c r="K32" s="1056"/>
      <c r="L32" s="21"/>
    </row>
    <row r="33" spans="1:12" ht="7.5" customHeight="1" x14ac:dyDescent="0.2">
      <c r="B33" s="19"/>
      <c r="C33" s="542"/>
      <c r="D33" s="542"/>
      <c r="E33" s="542"/>
      <c r="F33" s="542"/>
      <c r="G33" s="542"/>
      <c r="H33" s="542"/>
      <c r="I33" s="542"/>
      <c r="J33" s="542"/>
      <c r="K33" s="542"/>
      <c r="L33" s="21"/>
    </row>
    <row r="34" spans="1:12" ht="70.150000000000006" customHeight="1" x14ac:dyDescent="0.2">
      <c r="B34" s="19"/>
      <c r="C34" s="1054"/>
      <c r="D34" s="1055"/>
      <c r="E34" s="1055"/>
      <c r="F34" s="1055"/>
      <c r="G34" s="1055"/>
      <c r="H34" s="1055"/>
      <c r="I34" s="1055"/>
      <c r="J34" s="1055"/>
      <c r="K34" s="1055"/>
      <c r="L34" s="21"/>
    </row>
    <row r="35" spans="1:12" ht="30.95" customHeight="1" thickBot="1" x14ac:dyDescent="0.25">
      <c r="A35" s="442"/>
      <c r="B35" s="382"/>
      <c r="C35" s="1053"/>
      <c r="D35" s="1053"/>
      <c r="E35" s="1053"/>
      <c r="F35" s="1053"/>
      <c r="G35" s="1053"/>
      <c r="H35" s="1053"/>
      <c r="I35" s="1053"/>
      <c r="J35" s="1053"/>
      <c r="K35" s="1053"/>
      <c r="L35" s="383"/>
    </row>
    <row r="36" spans="1:12" ht="13.15" customHeight="1" x14ac:dyDescent="0.2"/>
    <row r="37" spans="1:12" x14ac:dyDescent="0.2"/>
    <row r="38" spans="1:12" x14ac:dyDescent="0.2"/>
    <row r="39" spans="1:12" x14ac:dyDescent="0.2"/>
    <row r="40" spans="1:12" x14ac:dyDescent="0.2"/>
    <row r="41" spans="1:12" x14ac:dyDescent="0.2"/>
    <row r="42" spans="1:12" x14ac:dyDescent="0.2"/>
    <row r="43" spans="1:12" x14ac:dyDescent="0.2"/>
    <row r="44" spans="1:12" x14ac:dyDescent="0.2"/>
    <row r="45" spans="1:12" x14ac:dyDescent="0.2"/>
  </sheetData>
  <sheetProtection algorithmName="SHA-512" hashValue="Km4/VqFVxO9xZ6f3mYYUEhH7HUfdrtoF1hZnGhdqpy0+hJXds6aeWqJ3F4hDWG+fWSBXNSvs1mVN7JQlTcfe7Q==" saltValue="OhseqejBqFD2p33VbKS0Sg==" spinCount="100000" sheet="1" selectLockedCells="1"/>
  <mergeCells count="18">
    <mergeCell ref="C5:I5"/>
    <mergeCell ref="C12:I12"/>
    <mergeCell ref="C16:I16"/>
    <mergeCell ref="C18:I18"/>
    <mergeCell ref="C14:I14"/>
    <mergeCell ref="C10:K10"/>
    <mergeCell ref="C7:I7"/>
    <mergeCell ref="C8:I8"/>
    <mergeCell ref="C23:K24"/>
    <mergeCell ref="C22:I22"/>
    <mergeCell ref="C25:K25"/>
    <mergeCell ref="C20:I20"/>
    <mergeCell ref="C35:K35"/>
    <mergeCell ref="C30:K30"/>
    <mergeCell ref="C34:K34"/>
    <mergeCell ref="C32:K32"/>
    <mergeCell ref="C28:K28"/>
    <mergeCell ref="C27:I27"/>
  </mergeCells>
  <phoneticPr fontId="0" type="noConversion"/>
  <conditionalFormatting sqref="C30:K30">
    <cfRule type="expression" dxfId="31" priority="2">
      <formula>$K$27="Yes"</formula>
    </cfRule>
  </conditionalFormatting>
  <conditionalFormatting sqref="C34:K34">
    <cfRule type="expression" dxfId="30" priority="1">
      <formula>$K$27="Yes"</formula>
    </cfRule>
  </conditionalFormatting>
  <dataValidations count="1">
    <dataValidation type="list" allowBlank="1" showInputMessage="1" showErrorMessage="1" sqref="K14 K12 K16 K18 K20 K5:K7 K9 K22 K27" xr:uid="{00000000-0002-0000-0F00-000000000000}">
      <formula1>ListYN</formula1>
    </dataValidation>
  </dataValidations>
  <pageMargins left="0.75" right="0.75" top="1" bottom="1" header="0.5" footer="0.5"/>
  <pageSetup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sheetPr>
  <dimension ref="A1:S105"/>
  <sheetViews>
    <sheetView topLeftCell="D19" zoomScale="90" zoomScaleNormal="90" workbookViewId="0">
      <selection activeCell="I25" sqref="I25"/>
    </sheetView>
  </sheetViews>
  <sheetFormatPr defaultColWidth="0" defaultRowHeight="12.75" x14ac:dyDescent="0.2"/>
  <cols>
    <col min="1" max="1" width="2.28515625" customWidth="1"/>
    <col min="2" max="2" width="3.28515625" customWidth="1"/>
    <col min="3" max="3" width="19.85546875" customWidth="1"/>
    <col min="4" max="4" width="35.85546875" bestFit="1" customWidth="1"/>
    <col min="5" max="5" width="19.140625" customWidth="1"/>
    <col min="6" max="6" width="16.42578125" customWidth="1"/>
    <col min="7" max="7" width="24.5703125" bestFit="1" customWidth="1"/>
    <col min="8" max="8" width="14.7109375" customWidth="1"/>
    <col min="9" max="9" width="15" customWidth="1"/>
    <col min="10" max="10" width="18.5703125" bestFit="1" customWidth="1"/>
    <col min="11" max="11" width="17" customWidth="1"/>
    <col min="12" max="13" width="28.5703125" bestFit="1" customWidth="1"/>
    <col min="14" max="14" width="21.140625" customWidth="1"/>
    <col min="15" max="15" width="14.28515625" bestFit="1" customWidth="1"/>
    <col min="16" max="16" width="30.85546875" bestFit="1" customWidth="1"/>
    <col min="17" max="17" width="3.42578125" customWidth="1"/>
    <col min="18" max="18" width="4.28515625" style="20" customWidth="1"/>
  </cols>
  <sheetData>
    <row r="1" spans="1:18" ht="36.6" customHeight="1" x14ac:dyDescent="0.2">
      <c r="A1" s="385"/>
      <c r="B1" s="385"/>
      <c r="C1" s="385"/>
      <c r="D1" s="385"/>
      <c r="E1" s="385"/>
      <c r="F1" s="385"/>
      <c r="G1" s="385"/>
      <c r="H1" s="385"/>
      <c r="I1" s="385"/>
      <c r="J1" s="385"/>
      <c r="K1" s="385"/>
      <c r="L1" s="385"/>
      <c r="M1" s="385"/>
      <c r="N1" s="385"/>
      <c r="O1" s="385"/>
      <c r="P1" s="385"/>
      <c r="Q1" s="385"/>
      <c r="R1" s="416"/>
    </row>
    <row r="2" spans="1:18" ht="36.6" customHeight="1" x14ac:dyDescent="0.2">
      <c r="A2" s="385"/>
      <c r="B2" s="629"/>
      <c r="C2" s="630"/>
      <c r="D2" s="630"/>
      <c r="E2" s="630"/>
      <c r="F2" s="630"/>
      <c r="G2" s="630"/>
      <c r="H2" s="630"/>
      <c r="I2" s="630"/>
      <c r="J2" s="630"/>
      <c r="K2" s="630"/>
      <c r="L2" s="630"/>
      <c r="M2" s="630"/>
      <c r="N2" s="630"/>
      <c r="O2" s="630"/>
      <c r="P2" s="630"/>
      <c r="Q2" s="630"/>
      <c r="R2" s="631"/>
    </row>
    <row r="3" spans="1:18" ht="47.45" customHeight="1" x14ac:dyDescent="0.2">
      <c r="A3" s="385"/>
      <c r="B3" s="632"/>
      <c r="C3" s="1063" t="s">
        <v>385</v>
      </c>
      <c r="D3" s="1064"/>
      <c r="E3" s="1064"/>
      <c r="F3" s="1064"/>
      <c r="G3" s="1064"/>
      <c r="H3" s="1064"/>
      <c r="I3" s="1064"/>
      <c r="J3" s="1064"/>
      <c r="K3" s="1064"/>
      <c r="L3" s="1064"/>
      <c r="M3" s="1064"/>
      <c r="N3" s="1064"/>
      <c r="O3" s="1064"/>
      <c r="P3" s="1065"/>
      <c r="Q3" s="380"/>
      <c r="R3" s="633"/>
    </row>
    <row r="4" spans="1:18" ht="93" customHeight="1" thickBot="1" x14ac:dyDescent="0.25">
      <c r="A4" s="385"/>
      <c r="B4" s="632"/>
      <c r="C4" s="1066" t="s">
        <v>687</v>
      </c>
      <c r="D4" s="1067"/>
      <c r="E4" s="1067"/>
      <c r="F4" s="1067"/>
      <c r="G4" s="1067"/>
      <c r="H4" s="1067"/>
      <c r="I4" s="1067"/>
      <c r="J4" s="1067"/>
      <c r="K4" s="1067"/>
      <c r="L4" s="1067"/>
      <c r="M4" s="1067"/>
      <c r="N4" s="1067"/>
      <c r="O4" s="1067"/>
      <c r="P4" s="1067"/>
      <c r="Q4" s="380"/>
      <c r="R4" s="633"/>
    </row>
    <row r="5" spans="1:18" ht="33.6" customHeight="1" x14ac:dyDescent="0.2">
      <c r="A5" s="385"/>
      <c r="B5" s="632"/>
      <c r="C5" s="1068" t="s">
        <v>386</v>
      </c>
      <c r="D5" s="1069"/>
      <c r="E5" s="1069"/>
      <c r="F5" s="1069"/>
      <c r="G5" s="1069"/>
      <c r="H5" s="1069"/>
      <c r="I5" s="1069"/>
      <c r="J5" s="1069"/>
      <c r="K5" s="1069"/>
      <c r="L5" s="1069"/>
      <c r="M5" s="1069"/>
      <c r="N5" s="1069"/>
      <c r="O5" s="1069"/>
      <c r="P5" s="1070"/>
      <c r="Q5" s="380"/>
      <c r="R5" s="633"/>
    </row>
    <row r="6" spans="1:18" ht="33.6" customHeight="1" x14ac:dyDescent="0.2">
      <c r="A6" s="385"/>
      <c r="B6" s="632"/>
      <c r="C6" s="1071"/>
      <c r="D6" s="1072"/>
      <c r="E6" s="1072"/>
      <c r="F6" s="1072"/>
      <c r="G6" s="1072"/>
      <c r="H6" s="1072"/>
      <c r="I6" s="1072"/>
      <c r="J6" s="1072"/>
      <c r="K6" s="1072"/>
      <c r="L6" s="1072"/>
      <c r="M6" s="1072"/>
      <c r="N6" s="1072"/>
      <c r="O6" s="1072"/>
      <c r="P6" s="1073"/>
      <c r="Q6" s="380"/>
      <c r="R6" s="633"/>
    </row>
    <row r="7" spans="1:18" ht="76.900000000000006" customHeight="1" x14ac:dyDescent="0.25">
      <c r="A7" s="385"/>
      <c r="B7" s="632"/>
      <c r="C7" s="1074" t="s">
        <v>394</v>
      </c>
      <c r="D7" s="1075" t="s">
        <v>686</v>
      </c>
      <c r="E7" s="1075" t="s">
        <v>387</v>
      </c>
      <c r="F7" s="1075" t="s">
        <v>388</v>
      </c>
      <c r="G7" s="1075" t="s">
        <v>664</v>
      </c>
      <c r="H7" s="1075" t="s">
        <v>390</v>
      </c>
      <c r="I7" s="1075" t="s">
        <v>391</v>
      </c>
      <c r="J7" s="1075" t="s">
        <v>665</v>
      </c>
      <c r="K7" s="1075" t="s">
        <v>666</v>
      </c>
      <c r="L7" s="1075" t="s">
        <v>688</v>
      </c>
      <c r="M7" s="1075" t="s">
        <v>674</v>
      </c>
      <c r="N7" s="1080" t="s">
        <v>668</v>
      </c>
      <c r="O7" s="1081" t="s">
        <v>669</v>
      </c>
      <c r="P7" s="1082"/>
      <c r="Q7" s="380"/>
      <c r="R7" s="633"/>
    </row>
    <row r="8" spans="1:18" ht="47.25" x14ac:dyDescent="0.25">
      <c r="A8" s="385"/>
      <c r="B8" s="632"/>
      <c r="C8" s="1074"/>
      <c r="D8" s="1075"/>
      <c r="E8" s="1075"/>
      <c r="F8" s="1075"/>
      <c r="G8" s="1075"/>
      <c r="H8" s="1075"/>
      <c r="I8" s="1075"/>
      <c r="J8" s="1075"/>
      <c r="K8" s="1075"/>
      <c r="L8" s="1075"/>
      <c r="M8" s="1075"/>
      <c r="N8" s="1080"/>
      <c r="O8" s="709" t="s">
        <v>670</v>
      </c>
      <c r="P8" s="709" t="s">
        <v>671</v>
      </c>
      <c r="Q8" s="380"/>
      <c r="R8" s="633"/>
    </row>
    <row r="9" spans="1:18" s="610" customFormat="1" x14ac:dyDescent="0.2">
      <c r="A9" s="607"/>
      <c r="B9" s="634"/>
      <c r="C9" s="640"/>
      <c r="D9" s="641" t="s">
        <v>844</v>
      </c>
      <c r="E9" s="615"/>
      <c r="F9" s="615"/>
      <c r="G9" s="643"/>
      <c r="H9" s="615"/>
      <c r="I9" s="616"/>
      <c r="J9" s="615"/>
      <c r="K9" s="615"/>
      <c r="L9" s="617"/>
      <c r="M9" s="643"/>
      <c r="N9" s="656"/>
      <c r="O9" s="644" t="str">
        <f>IF(K9="","",IF(K9="&lt;Select One&gt;","",IF(N9="","",IF(K9="Y","Exempt",IF(N9="Y","Exempt","Non-Exempt")))))</f>
        <v/>
      </c>
      <c r="P9" s="658" t="str">
        <f>IF(O9="","",IFERROR(IF(O9="Exempt","N/A, Vehicle is exempt",IF(AND($O9="Non-Exempt",$L9&gt;=VLOOKUP($G9&amp;$J9,'DOER reference'!$W$4:$X$15,2,FALSE)),"Yes","No, please contact your Regional Coordinator")),""))</f>
        <v/>
      </c>
      <c r="Q9" s="379"/>
      <c r="R9" s="633"/>
    </row>
    <row r="10" spans="1:18" s="610" customFormat="1" x14ac:dyDescent="0.2">
      <c r="A10" s="607"/>
      <c r="B10" s="634"/>
      <c r="C10" s="640"/>
      <c r="D10" s="641"/>
      <c r="E10" s="615"/>
      <c r="F10" s="615"/>
      <c r="G10" s="643"/>
      <c r="H10" s="615"/>
      <c r="I10" s="616"/>
      <c r="J10" s="615"/>
      <c r="K10" s="615"/>
      <c r="L10" s="617"/>
      <c r="M10" s="643"/>
      <c r="N10" s="656"/>
      <c r="O10" s="644" t="str">
        <f>IF(K10="","",IF(K10="&lt;Select One&gt;","",IF(N10="","",IF(K10="Y","Exempt",IF(N10="Y","Exempt","Non-Exempt")))))</f>
        <v/>
      </c>
      <c r="P10" s="658" t="str">
        <f>IF(O10="","",IFERROR(IF(O10="Exempt","N/A, Vehicle is exempt",IF(AND($O10="Non-Exempt",$L10&gt;=VLOOKUP($G10&amp;$J10,'DOER reference'!$W$4:$X$15,2,FALSE)),"Yes","No, please contact your Regional Coordinator")),""))</f>
        <v/>
      </c>
      <c r="Q10" s="379"/>
      <c r="R10" s="633"/>
    </row>
    <row r="11" spans="1:18" s="610" customFormat="1" x14ac:dyDescent="0.2">
      <c r="A11" s="607"/>
      <c r="B11" s="634"/>
      <c r="C11" s="640"/>
      <c r="D11" s="641"/>
      <c r="E11" s="615"/>
      <c r="F11" s="615"/>
      <c r="G11" s="643"/>
      <c r="H11" s="615"/>
      <c r="I11" s="616"/>
      <c r="J11" s="615"/>
      <c r="K11" s="615"/>
      <c r="L11" s="617"/>
      <c r="M11" s="643"/>
      <c r="N11" s="656"/>
      <c r="O11" s="644" t="str">
        <f t="shared" ref="O11:O14" si="0">IF(K11="","",IF(K11="&lt;Select One&gt;","",IF(N11="","",IF(K11="Y","Exempt",IF(N11="Y","Exempt","Non-Exempt")))))</f>
        <v/>
      </c>
      <c r="P11" s="658" t="str">
        <f>IF(O11="","",IFERROR(IF(O11="Exempt","N/A, Vehicle is exempt",IF(AND($O11="Non-Exempt",$L11&gt;=VLOOKUP($G11&amp;$J11,'DOER reference'!$W$4:$X$15,2,FALSE)),"Yes","No, please contact your Regional Coordinator")),""))</f>
        <v/>
      </c>
      <c r="Q11" s="379"/>
      <c r="R11" s="633"/>
    </row>
    <row r="12" spans="1:18" s="610" customFormat="1" x14ac:dyDescent="0.2">
      <c r="A12" s="607"/>
      <c r="B12" s="634"/>
      <c r="C12" s="640"/>
      <c r="D12" s="641"/>
      <c r="E12" s="615"/>
      <c r="F12" s="615"/>
      <c r="G12" s="643"/>
      <c r="H12" s="615"/>
      <c r="I12" s="616"/>
      <c r="J12" s="615"/>
      <c r="K12" s="615"/>
      <c r="L12" s="617"/>
      <c r="M12" s="643"/>
      <c r="N12" s="656"/>
      <c r="O12" s="644" t="str">
        <f t="shared" si="0"/>
        <v/>
      </c>
      <c r="P12" s="658" t="str">
        <f>IF(O12="","",IFERROR(IF(O12="Exempt","N/A, Vehicle is exempt",IF(AND($O12="Non-Exempt",$L12&gt;=VLOOKUP($G12&amp;$J12,'DOER reference'!$W$4:$X$15,2,FALSE)),"Yes","No, please contact your Regional Coordinator")),""))</f>
        <v/>
      </c>
      <c r="Q12" s="379"/>
      <c r="R12" s="633"/>
    </row>
    <row r="13" spans="1:18" s="610" customFormat="1" x14ac:dyDescent="0.2">
      <c r="A13" s="607"/>
      <c r="B13" s="634"/>
      <c r="C13" s="640"/>
      <c r="D13" s="641"/>
      <c r="E13" s="615"/>
      <c r="F13" s="615"/>
      <c r="G13" s="643"/>
      <c r="H13" s="615"/>
      <c r="I13" s="616"/>
      <c r="J13" s="615"/>
      <c r="K13" s="615"/>
      <c r="L13" s="617"/>
      <c r="M13" s="643"/>
      <c r="N13" s="656"/>
      <c r="O13" s="644" t="str">
        <f t="shared" si="0"/>
        <v/>
      </c>
      <c r="P13" s="658" t="str">
        <f>IF(O13="","",IFERROR(IF(O13="Exempt","N/A, Vehicle is exempt",IF(AND($O13="Non-Exempt",$L13&gt;=VLOOKUP($G13&amp;$J13,'DOER reference'!$W$4:$X$15,2,FALSE)),"Yes","No, please contact your Regional Coordinator")),""))</f>
        <v/>
      </c>
      <c r="Q13" s="379"/>
      <c r="R13" s="633"/>
    </row>
    <row r="14" spans="1:18" s="610" customFormat="1" x14ac:dyDescent="0.2">
      <c r="A14" s="607"/>
      <c r="B14" s="634"/>
      <c r="C14" s="640"/>
      <c r="D14" s="641"/>
      <c r="E14" s="615"/>
      <c r="F14" s="615"/>
      <c r="G14" s="643"/>
      <c r="H14" s="615"/>
      <c r="I14" s="616"/>
      <c r="J14" s="615"/>
      <c r="K14" s="615"/>
      <c r="L14" s="617"/>
      <c r="M14" s="643"/>
      <c r="N14" s="656"/>
      <c r="O14" s="644" t="str">
        <f t="shared" si="0"/>
        <v/>
      </c>
      <c r="P14" s="658" t="str">
        <f>IF(O14="","",IFERROR(IF(O14="Exempt","N/A, Vehicle is exempt",IF(AND($O14="Non-Exempt",$L14&gt;=VLOOKUP($G14&amp;$J14,'DOER reference'!$W$4:$X$15,2,FALSE)),"Yes","No, please contact your Regional Coordinator")),""))</f>
        <v/>
      </c>
      <c r="Q14" s="379"/>
      <c r="R14" s="633"/>
    </row>
    <row r="15" spans="1:18" s="610" customFormat="1" x14ac:dyDescent="0.2">
      <c r="A15" s="607"/>
      <c r="B15" s="634"/>
      <c r="C15" s="640"/>
      <c r="D15" s="641"/>
      <c r="E15" s="615"/>
      <c r="F15" s="615"/>
      <c r="G15" s="643"/>
      <c r="H15" s="615"/>
      <c r="I15" s="616"/>
      <c r="J15" s="615"/>
      <c r="K15" s="615"/>
      <c r="L15" s="617"/>
      <c r="M15" s="643"/>
      <c r="N15" s="656"/>
      <c r="O15" s="644"/>
      <c r="P15" s="658"/>
      <c r="Q15" s="379"/>
      <c r="R15" s="633"/>
    </row>
    <row r="16" spans="1:18" s="610" customFormat="1" x14ac:dyDescent="0.2">
      <c r="A16" s="607"/>
      <c r="B16" s="634"/>
      <c r="C16" s="640"/>
      <c r="D16" s="641"/>
      <c r="E16" s="615"/>
      <c r="F16" s="615"/>
      <c r="G16" s="643"/>
      <c r="H16" s="615"/>
      <c r="I16" s="616"/>
      <c r="J16" s="615"/>
      <c r="K16" s="615"/>
      <c r="L16" s="617"/>
      <c r="M16" s="643"/>
      <c r="N16" s="656"/>
      <c r="O16" s="644" t="str">
        <f t="shared" ref="O16:O43" si="1">IF(K16="","",IF(K16="&lt;Select One&gt;","",IF(N16="","",IF(K16="Y","Exempt",IF(N16="Y","Exempt","Non-Exempt")))))</f>
        <v/>
      </c>
      <c r="P16" s="658" t="str">
        <f>IF(O16="","",IFERROR(IF(O16="Exempt","N/A, Vehicle is exempt",IF(AND($O16="Non-Exempt",$L16&gt;=VLOOKUP($G16&amp;$J16,'DOER reference'!$W$4:$X$15,2,FALSE)),"Yes","No, please contact your Regional Coordinator")),""))</f>
        <v/>
      </c>
      <c r="Q16" s="379"/>
      <c r="R16" s="633"/>
    </row>
    <row r="17" spans="1:18" s="610" customFormat="1" x14ac:dyDescent="0.2">
      <c r="A17" s="607"/>
      <c r="B17" s="634"/>
      <c r="C17" s="640"/>
      <c r="D17" s="641"/>
      <c r="E17" s="615"/>
      <c r="F17" s="615"/>
      <c r="G17" s="643"/>
      <c r="H17" s="615"/>
      <c r="I17" s="616"/>
      <c r="J17" s="615"/>
      <c r="K17" s="615"/>
      <c r="L17" s="617"/>
      <c r="M17" s="643"/>
      <c r="N17" s="656"/>
      <c r="O17" s="644" t="str">
        <f t="shared" si="1"/>
        <v/>
      </c>
      <c r="P17" s="658" t="str">
        <f>IF(O17="","",IFERROR(IF(O17="Exempt","N/A, Vehicle is exempt",IF(AND($O17="Non-Exempt",$L17&gt;=VLOOKUP($G17&amp;$J17,'DOER reference'!$W$4:$X$15,2,FALSE)),"Yes","No, please contact your Regional Coordinator")),""))</f>
        <v/>
      </c>
      <c r="Q17" s="379"/>
      <c r="R17" s="633"/>
    </row>
    <row r="18" spans="1:18" s="610" customFormat="1" x14ac:dyDescent="0.2">
      <c r="A18" s="607"/>
      <c r="B18" s="634"/>
      <c r="C18" s="640"/>
      <c r="D18" s="641"/>
      <c r="E18" s="615"/>
      <c r="F18" s="615"/>
      <c r="G18" s="643"/>
      <c r="H18" s="615"/>
      <c r="I18" s="616"/>
      <c r="J18" s="615"/>
      <c r="K18" s="615"/>
      <c r="L18" s="617"/>
      <c r="M18" s="643"/>
      <c r="N18" s="656"/>
      <c r="O18" s="644" t="str">
        <f t="shared" si="1"/>
        <v/>
      </c>
      <c r="P18" s="658" t="str">
        <f>IF(O18="","",IFERROR(IF(O18="Exempt","N/A, Vehicle is exempt",IF(AND($O18="Non-Exempt",$L18&gt;=VLOOKUP($G18&amp;$J18,'DOER reference'!$W$4:$X$15,2,FALSE)),"Yes","No, please contact your Regional Coordinator")),""))</f>
        <v/>
      </c>
      <c r="Q18" s="379"/>
      <c r="R18" s="633"/>
    </row>
    <row r="19" spans="1:18" s="610" customFormat="1" x14ac:dyDescent="0.2">
      <c r="A19" s="607"/>
      <c r="B19" s="634"/>
      <c r="C19" s="640"/>
      <c r="D19" s="641"/>
      <c r="E19" s="615"/>
      <c r="F19" s="615"/>
      <c r="G19" s="643"/>
      <c r="H19" s="615"/>
      <c r="I19" s="616"/>
      <c r="J19" s="615"/>
      <c r="K19" s="615"/>
      <c r="L19" s="617"/>
      <c r="M19" s="643"/>
      <c r="N19" s="656"/>
      <c r="O19" s="644" t="str">
        <f t="shared" si="1"/>
        <v/>
      </c>
      <c r="P19" s="658" t="str">
        <f>IF(O19="","",IFERROR(IF(O19="Exempt","N/A, Vehicle is exempt",IF(AND($O19="Non-Exempt",$L19&gt;=VLOOKUP($G19&amp;$J19,'DOER reference'!$W$4:$X$15,2,FALSE)),"Yes","No, please contact your Regional Coordinator")),""))</f>
        <v/>
      </c>
      <c r="Q19" s="379"/>
      <c r="R19" s="633"/>
    </row>
    <row r="20" spans="1:18" x14ac:dyDescent="0.2">
      <c r="A20" s="385"/>
      <c r="B20" s="632"/>
      <c r="C20" s="640"/>
      <c r="D20" s="641"/>
      <c r="E20" s="615"/>
      <c r="F20" s="615"/>
      <c r="G20" s="643"/>
      <c r="H20" s="615"/>
      <c r="I20" s="616"/>
      <c r="J20" s="615"/>
      <c r="K20" s="615"/>
      <c r="L20" s="617"/>
      <c r="M20" s="643"/>
      <c r="N20" s="656"/>
      <c r="O20" s="644" t="str">
        <f t="shared" si="1"/>
        <v/>
      </c>
      <c r="P20" s="658" t="str">
        <f>IF(O20="","",IFERROR(IF(O20="Exempt","N/A, Vehicle is exempt",IF(AND($O20="Non-Exempt",$L20&gt;=VLOOKUP($G20&amp;$J20,'DOER reference'!$W$4:$X$15,2,FALSE)),"Yes","No, please contact your Regional Coordinator")),""))</f>
        <v/>
      </c>
      <c r="Q20" s="380"/>
      <c r="R20" s="633"/>
    </row>
    <row r="21" spans="1:18" x14ac:dyDescent="0.2">
      <c r="A21" s="385"/>
      <c r="B21" s="632"/>
      <c r="C21" s="640"/>
      <c r="D21" s="641"/>
      <c r="E21" s="615"/>
      <c r="F21" s="615"/>
      <c r="G21" s="643"/>
      <c r="H21" s="615"/>
      <c r="I21" s="616"/>
      <c r="J21" s="615"/>
      <c r="K21" s="615"/>
      <c r="L21" s="617"/>
      <c r="M21" s="643"/>
      <c r="N21" s="656"/>
      <c r="O21" s="644" t="str">
        <f t="shared" si="1"/>
        <v/>
      </c>
      <c r="P21" s="658" t="str">
        <f>IF(O21="","",IFERROR(IF(O21="Exempt","N/A, Vehicle is exempt",IF(AND($O21="Non-Exempt",$L21&gt;=VLOOKUP($G21&amp;$J21,'DOER reference'!$W$4:$X$15,2,FALSE)),"Yes","No, please contact your Regional Coordinator")),""))</f>
        <v/>
      </c>
      <c r="Q21" s="380"/>
      <c r="R21" s="633"/>
    </row>
    <row r="22" spans="1:18" x14ac:dyDescent="0.2">
      <c r="A22" s="385"/>
      <c r="B22" s="632"/>
      <c r="C22" s="640"/>
      <c r="D22" s="641"/>
      <c r="E22" s="615"/>
      <c r="F22" s="615"/>
      <c r="G22" s="643"/>
      <c r="H22" s="615"/>
      <c r="I22" s="616"/>
      <c r="J22" s="615"/>
      <c r="K22" s="615"/>
      <c r="L22" s="617"/>
      <c r="M22" s="643"/>
      <c r="N22" s="656"/>
      <c r="O22" s="644" t="str">
        <f t="shared" si="1"/>
        <v/>
      </c>
      <c r="P22" s="658" t="str">
        <f>IF(O22="","",IFERROR(IF(O22="Exempt","N/A, Vehicle is exempt",IF(AND($O22="Non-Exempt",$L22&gt;=VLOOKUP($G22&amp;$J22,'DOER reference'!$W$4:$X$15,2,FALSE)),"Yes","No, please contact your Regional Coordinator")),""))</f>
        <v/>
      </c>
      <c r="Q22" s="380"/>
      <c r="R22" s="633"/>
    </row>
    <row r="23" spans="1:18" x14ac:dyDescent="0.2">
      <c r="A23" s="385"/>
      <c r="B23" s="632"/>
      <c r="C23" s="640"/>
      <c r="D23" s="641"/>
      <c r="E23" s="615"/>
      <c r="F23" s="615"/>
      <c r="G23" s="643"/>
      <c r="H23" s="615"/>
      <c r="I23" s="616"/>
      <c r="J23" s="615"/>
      <c r="K23" s="615"/>
      <c r="L23" s="617"/>
      <c r="M23" s="643"/>
      <c r="N23" s="656"/>
      <c r="O23" s="644" t="str">
        <f t="shared" si="1"/>
        <v/>
      </c>
      <c r="P23" s="658" t="str">
        <f>IF(O23="","",IFERROR(IF(O23="Exempt","N/A, Vehicle is exempt",IF(AND($O23="Non-Exempt",$L23&gt;=VLOOKUP($G23&amp;$J23,'DOER reference'!$W$4:$X$15,2,FALSE)),"Yes","No, please contact your Regional Coordinator")),""))</f>
        <v/>
      </c>
      <c r="Q23" s="380"/>
      <c r="R23" s="633"/>
    </row>
    <row r="24" spans="1:18" x14ac:dyDescent="0.2">
      <c r="A24" s="385"/>
      <c r="B24" s="632"/>
      <c r="C24" s="640"/>
      <c r="D24" s="641"/>
      <c r="E24" s="615"/>
      <c r="F24" s="615"/>
      <c r="G24" s="643"/>
      <c r="H24" s="615"/>
      <c r="I24" s="616"/>
      <c r="J24" s="615"/>
      <c r="K24" s="615"/>
      <c r="L24" s="617"/>
      <c r="M24" s="643"/>
      <c r="N24" s="656"/>
      <c r="O24" s="644" t="str">
        <f t="shared" si="1"/>
        <v/>
      </c>
      <c r="P24" s="658" t="str">
        <f>IF(O24="","",IFERROR(IF(O24="Exempt","N/A, Vehicle is exempt",IF(AND($O24="Non-Exempt",$L24&gt;=VLOOKUP($G24&amp;$J24,'DOER reference'!$W$4:$X$15,2,FALSE)),"Yes","No, please contact your Regional Coordinator")),""))</f>
        <v/>
      </c>
      <c r="Q24" s="380"/>
      <c r="R24" s="633"/>
    </row>
    <row r="25" spans="1:18" x14ac:dyDescent="0.2">
      <c r="A25" s="385"/>
      <c r="B25" s="632"/>
      <c r="C25" s="640"/>
      <c r="D25" s="641"/>
      <c r="E25" s="615"/>
      <c r="F25" s="615"/>
      <c r="G25" s="643"/>
      <c r="H25" s="615"/>
      <c r="I25" s="616"/>
      <c r="J25" s="615"/>
      <c r="K25" s="615"/>
      <c r="L25" s="617"/>
      <c r="M25" s="643"/>
      <c r="N25" s="656"/>
      <c r="O25" s="644" t="str">
        <f t="shared" si="1"/>
        <v/>
      </c>
      <c r="P25" s="658" t="str">
        <f>IF(O25="","",IFERROR(IF(O25="Exempt","N/A, Vehicle is exempt",IF(AND($O25="Non-Exempt",$L25&gt;=VLOOKUP($G25&amp;$J25,'DOER reference'!$W$4:$X$15,2,FALSE)),"Yes","No, please contact your Regional Coordinator")),""))</f>
        <v/>
      </c>
      <c r="Q25" s="380"/>
      <c r="R25" s="633"/>
    </row>
    <row r="26" spans="1:18" x14ac:dyDescent="0.2">
      <c r="A26" s="385"/>
      <c r="B26" s="632"/>
      <c r="C26" s="640"/>
      <c r="D26" s="641"/>
      <c r="E26" s="615"/>
      <c r="F26" s="615"/>
      <c r="G26" s="643"/>
      <c r="H26" s="615"/>
      <c r="I26" s="616"/>
      <c r="J26" s="615"/>
      <c r="K26" s="615"/>
      <c r="L26" s="617"/>
      <c r="M26" s="643"/>
      <c r="N26" s="656"/>
      <c r="O26" s="644" t="str">
        <f t="shared" si="1"/>
        <v/>
      </c>
      <c r="P26" s="658" t="str">
        <f>IF(O26="","",IFERROR(IF(O26="Exempt","N/A, Vehicle is exempt",IF(AND($O26="Non-Exempt",$L26&gt;=VLOOKUP($G26&amp;$J26,'DOER reference'!$W$4:$X$15,2,FALSE)),"Yes","No, please contact your Regional Coordinator")),""))</f>
        <v/>
      </c>
      <c r="Q26" s="380"/>
      <c r="R26" s="633"/>
    </row>
    <row r="27" spans="1:18" x14ac:dyDescent="0.2">
      <c r="A27" s="385"/>
      <c r="B27" s="632"/>
      <c r="C27" s="640"/>
      <c r="D27" s="641"/>
      <c r="E27" s="615"/>
      <c r="F27" s="615"/>
      <c r="G27" s="643"/>
      <c r="H27" s="615"/>
      <c r="I27" s="616"/>
      <c r="J27" s="615"/>
      <c r="K27" s="615"/>
      <c r="L27" s="617"/>
      <c r="M27" s="643"/>
      <c r="N27" s="656"/>
      <c r="O27" s="644" t="str">
        <f t="shared" si="1"/>
        <v/>
      </c>
      <c r="P27" s="658" t="str">
        <f>IF(O27="","",IFERROR(IF(O27="Exempt","N/A, Vehicle is exempt",IF(AND($O27="Non-Exempt",$L27&gt;=VLOOKUP($G27&amp;$J27,'DOER reference'!$W$4:$X$15,2,FALSE)),"Yes","No, please contact your Regional Coordinator")),""))</f>
        <v/>
      </c>
      <c r="Q27" s="380"/>
      <c r="R27" s="633"/>
    </row>
    <row r="28" spans="1:18" x14ac:dyDescent="0.2">
      <c r="A28" s="385"/>
      <c r="B28" s="632"/>
      <c r="C28" s="640"/>
      <c r="D28" s="641"/>
      <c r="E28" s="615"/>
      <c r="F28" s="615"/>
      <c r="G28" s="643"/>
      <c r="H28" s="615"/>
      <c r="I28" s="616"/>
      <c r="J28" s="615"/>
      <c r="K28" s="615"/>
      <c r="L28" s="617"/>
      <c r="M28" s="643"/>
      <c r="N28" s="656"/>
      <c r="O28" s="644" t="str">
        <f t="shared" si="1"/>
        <v/>
      </c>
      <c r="P28" s="658" t="str">
        <f>IF(O28="","",IFERROR(IF(O28="Exempt","N/A, Vehicle is exempt",IF(AND($O28="Non-Exempt",$L28&gt;=VLOOKUP($G28&amp;$J28,'DOER reference'!$W$4:$X$15,2,FALSE)),"Yes","No, please contact your Regional Coordinator")),""))</f>
        <v/>
      </c>
      <c r="Q28" s="380"/>
      <c r="R28" s="633"/>
    </row>
    <row r="29" spans="1:18" x14ac:dyDescent="0.2">
      <c r="A29" s="385"/>
      <c r="B29" s="632"/>
      <c r="C29" s="640"/>
      <c r="D29" s="641"/>
      <c r="E29" s="615"/>
      <c r="F29" s="615"/>
      <c r="G29" s="643"/>
      <c r="H29" s="615"/>
      <c r="I29" s="616"/>
      <c r="J29" s="615"/>
      <c r="K29" s="615"/>
      <c r="L29" s="617"/>
      <c r="M29" s="643"/>
      <c r="N29" s="656"/>
      <c r="O29" s="644" t="str">
        <f t="shared" si="1"/>
        <v/>
      </c>
      <c r="P29" s="658" t="str">
        <f>IF(O29="","",IFERROR(IF(O29="Exempt","N/A, Vehicle is exempt",IF(AND($O29="Non-Exempt",$L29&gt;=VLOOKUP($G29&amp;$J29,'DOER reference'!$W$4:$X$15,2,FALSE)),"Yes","No, please contact your Regional Coordinator")),""))</f>
        <v/>
      </c>
      <c r="Q29" s="380"/>
      <c r="R29" s="633"/>
    </row>
    <row r="30" spans="1:18" x14ac:dyDescent="0.2">
      <c r="A30" s="385"/>
      <c r="B30" s="632"/>
      <c r="C30" s="640"/>
      <c r="D30" s="641"/>
      <c r="E30" s="615"/>
      <c r="F30" s="615"/>
      <c r="G30" s="643"/>
      <c r="H30" s="615"/>
      <c r="I30" s="616"/>
      <c r="J30" s="615"/>
      <c r="K30" s="615"/>
      <c r="L30" s="617"/>
      <c r="M30" s="643"/>
      <c r="N30" s="656"/>
      <c r="O30" s="644" t="str">
        <f t="shared" si="1"/>
        <v/>
      </c>
      <c r="P30" s="658" t="str">
        <f>IF(O30="","",IFERROR(IF(O30="Exempt","N/A, Vehicle is exempt",IF(AND($O30="Non-Exempt",$L30&gt;=VLOOKUP($G30&amp;$J30,'DOER reference'!$W$4:$X$15,2,FALSE)),"Yes","No, please contact your Regional Coordinator")),""))</f>
        <v/>
      </c>
      <c r="Q30" s="380"/>
      <c r="R30" s="633"/>
    </row>
    <row r="31" spans="1:18" x14ac:dyDescent="0.2">
      <c r="A31" s="385"/>
      <c r="B31" s="632"/>
      <c r="C31" s="640"/>
      <c r="D31" s="641"/>
      <c r="E31" s="615"/>
      <c r="F31" s="615"/>
      <c r="G31" s="643"/>
      <c r="H31" s="615"/>
      <c r="I31" s="616"/>
      <c r="J31" s="615"/>
      <c r="K31" s="615"/>
      <c r="L31" s="617"/>
      <c r="M31" s="643"/>
      <c r="N31" s="656"/>
      <c r="O31" s="644" t="str">
        <f t="shared" si="1"/>
        <v/>
      </c>
      <c r="P31" s="658" t="str">
        <f>IF(O31="","",IFERROR(IF(O31="Exempt","N/A, Vehicle is exempt",IF(AND($O31="Non-Exempt",$L31&gt;=VLOOKUP($G31&amp;$J31,'DOER reference'!$W$4:$X$15,2,FALSE)),"Yes","No, please contact your Regional Coordinator")),""))</f>
        <v/>
      </c>
      <c r="Q31" s="380"/>
      <c r="R31" s="633"/>
    </row>
    <row r="32" spans="1:18" x14ac:dyDescent="0.2">
      <c r="A32" s="385"/>
      <c r="B32" s="632"/>
      <c r="C32" s="640"/>
      <c r="D32" s="641"/>
      <c r="E32" s="615"/>
      <c r="F32" s="615"/>
      <c r="G32" s="643"/>
      <c r="H32" s="615"/>
      <c r="I32" s="616"/>
      <c r="J32" s="615"/>
      <c r="K32" s="615"/>
      <c r="L32" s="617"/>
      <c r="M32" s="643"/>
      <c r="N32" s="656"/>
      <c r="O32" s="644" t="str">
        <f t="shared" si="1"/>
        <v/>
      </c>
      <c r="P32" s="658" t="str">
        <f>IF(O32="","",IFERROR(IF(O32="Exempt","N/A, Vehicle is exempt",IF(AND($O32="Non-Exempt",$L32&gt;=VLOOKUP($G32&amp;$J32,'DOER reference'!$W$4:$X$15,2,FALSE)),"Yes","No, please contact your Regional Coordinator")),""))</f>
        <v/>
      </c>
      <c r="Q32" s="380"/>
      <c r="R32" s="633"/>
    </row>
    <row r="33" spans="1:19" x14ac:dyDescent="0.2">
      <c r="A33" s="385"/>
      <c r="B33" s="632"/>
      <c r="C33" s="640"/>
      <c r="D33" s="641"/>
      <c r="E33" s="615"/>
      <c r="F33" s="615"/>
      <c r="G33" s="643"/>
      <c r="H33" s="615"/>
      <c r="I33" s="616"/>
      <c r="J33" s="615"/>
      <c r="K33" s="615"/>
      <c r="L33" s="617"/>
      <c r="M33" s="643"/>
      <c r="N33" s="656"/>
      <c r="O33" s="644" t="str">
        <f t="shared" si="1"/>
        <v/>
      </c>
      <c r="P33" s="658" t="str">
        <f>IF(O33="","",IFERROR(IF(O33="Exempt","N/A, Vehicle is exempt",IF(AND($O33="Non-Exempt",$L33&gt;=VLOOKUP($G33&amp;$J33,'DOER reference'!$W$4:$X$15,2,FALSE)),"Yes","No, please contact your Regional Coordinator")),""))</f>
        <v/>
      </c>
      <c r="Q33" s="380"/>
      <c r="R33" s="633"/>
    </row>
    <row r="34" spans="1:19" x14ac:dyDescent="0.2">
      <c r="A34" s="385"/>
      <c r="B34" s="632"/>
      <c r="C34" s="640"/>
      <c r="D34" s="641"/>
      <c r="E34" s="615"/>
      <c r="F34" s="615"/>
      <c r="G34" s="643"/>
      <c r="H34" s="615"/>
      <c r="I34" s="616"/>
      <c r="J34" s="615"/>
      <c r="K34" s="615"/>
      <c r="L34" s="617"/>
      <c r="M34" s="643"/>
      <c r="N34" s="656"/>
      <c r="O34" s="644" t="str">
        <f t="shared" si="1"/>
        <v/>
      </c>
      <c r="P34" s="658" t="str">
        <f>IF(O34="","",IFERROR(IF(O34="Exempt","N/A, Vehicle is exempt",IF(AND($O34="Non-Exempt",$L34&gt;=VLOOKUP($G34&amp;$J34,'DOER reference'!$W$4:$X$15,2,FALSE)),"Yes","No, please contact your Regional Coordinator")),""))</f>
        <v/>
      </c>
      <c r="Q34" s="380"/>
      <c r="R34" s="633"/>
    </row>
    <row r="35" spans="1:19" x14ac:dyDescent="0.2">
      <c r="A35" s="385"/>
      <c r="B35" s="632"/>
      <c r="C35" s="640"/>
      <c r="D35" s="641"/>
      <c r="E35" s="615"/>
      <c r="F35" s="615"/>
      <c r="G35" s="643"/>
      <c r="H35" s="615"/>
      <c r="I35" s="616"/>
      <c r="J35" s="615"/>
      <c r="K35" s="615"/>
      <c r="L35" s="617"/>
      <c r="M35" s="643"/>
      <c r="N35" s="656"/>
      <c r="O35" s="644" t="str">
        <f t="shared" si="1"/>
        <v/>
      </c>
      <c r="P35" s="658" t="str">
        <f>IF(O35="","",IFERROR(IF(O35="Exempt","N/A, Vehicle is exempt",IF(AND($O35="Non-Exempt",$L35&gt;=VLOOKUP($G35&amp;$J35,'DOER reference'!$W$4:$X$15,2,FALSE)),"Yes","No, please contact your Regional Coordinator")),""))</f>
        <v/>
      </c>
      <c r="Q35" s="380"/>
      <c r="R35" s="633"/>
    </row>
    <row r="36" spans="1:19" x14ac:dyDescent="0.2">
      <c r="A36" s="385"/>
      <c r="B36" s="632"/>
      <c r="C36" s="640"/>
      <c r="D36" s="641"/>
      <c r="E36" s="615"/>
      <c r="F36" s="615"/>
      <c r="G36" s="643"/>
      <c r="H36" s="615"/>
      <c r="I36" s="616"/>
      <c r="J36" s="615"/>
      <c r="K36" s="615"/>
      <c r="L36" s="617"/>
      <c r="M36" s="643"/>
      <c r="N36" s="656"/>
      <c r="O36" s="644" t="str">
        <f t="shared" si="1"/>
        <v/>
      </c>
      <c r="P36" s="658" t="str">
        <f>IF(O36="","",IFERROR(IF(O36="Exempt","N/A, Vehicle is exempt",IF(AND($O36="Non-Exempt",$L36&gt;=VLOOKUP($G36&amp;$J36,'DOER reference'!$W$4:$X$15,2,FALSE)),"Yes","No, please contact your Regional Coordinator")),""))</f>
        <v/>
      </c>
      <c r="Q36" s="380"/>
      <c r="R36" s="633"/>
    </row>
    <row r="37" spans="1:19" x14ac:dyDescent="0.2">
      <c r="A37" s="385"/>
      <c r="B37" s="632"/>
      <c r="C37" s="640"/>
      <c r="D37" s="641"/>
      <c r="E37" s="615"/>
      <c r="F37" s="615"/>
      <c r="G37" s="643"/>
      <c r="H37" s="615"/>
      <c r="I37" s="616"/>
      <c r="J37" s="615"/>
      <c r="K37" s="615"/>
      <c r="L37" s="617"/>
      <c r="M37" s="643"/>
      <c r="N37" s="656"/>
      <c r="O37" s="644" t="str">
        <f t="shared" si="1"/>
        <v/>
      </c>
      <c r="P37" s="658" t="str">
        <f>IF(O37="","",IFERROR(IF(O37="Exempt","N/A, Vehicle is exempt",IF(AND($O37="Non-Exempt",$L37&gt;=VLOOKUP($G37&amp;$J37,'DOER reference'!$W$4:$X$15,2,FALSE)),"Yes","No, please contact your Regional Coordinator")),""))</f>
        <v/>
      </c>
      <c r="Q37" s="380"/>
      <c r="R37" s="633"/>
    </row>
    <row r="38" spans="1:19" x14ac:dyDescent="0.2">
      <c r="A38" s="385"/>
      <c r="B38" s="632"/>
      <c r="C38" s="640"/>
      <c r="D38" s="641"/>
      <c r="E38" s="615"/>
      <c r="F38" s="615"/>
      <c r="G38" s="643"/>
      <c r="H38" s="615"/>
      <c r="I38" s="616"/>
      <c r="J38" s="615"/>
      <c r="K38" s="615"/>
      <c r="L38" s="617"/>
      <c r="M38" s="643"/>
      <c r="N38" s="656"/>
      <c r="O38" s="644" t="str">
        <f t="shared" si="1"/>
        <v/>
      </c>
      <c r="P38" s="658" t="str">
        <f>IF(O38="","",IFERROR(IF(O38="Exempt","N/A, Vehicle is exempt",IF(AND($O38="Non-Exempt",$L38&gt;=VLOOKUP($G38&amp;$J38,'DOER reference'!$W$4:$X$15,2,FALSE)),"Yes","No, please contact your Regional Coordinator")),""))</f>
        <v/>
      </c>
      <c r="Q38" s="380"/>
      <c r="R38" s="633"/>
    </row>
    <row r="39" spans="1:19" x14ac:dyDescent="0.2">
      <c r="A39" s="385"/>
      <c r="B39" s="632"/>
      <c r="C39" s="640"/>
      <c r="D39" s="641"/>
      <c r="E39" s="615"/>
      <c r="F39" s="615"/>
      <c r="G39" s="643"/>
      <c r="H39" s="615"/>
      <c r="I39" s="616"/>
      <c r="J39" s="615"/>
      <c r="K39" s="615"/>
      <c r="L39" s="617"/>
      <c r="M39" s="643"/>
      <c r="N39" s="656"/>
      <c r="O39" s="644" t="str">
        <f t="shared" si="1"/>
        <v/>
      </c>
      <c r="P39" s="658" t="str">
        <f>IF(O39="","",IFERROR(IF(O39="Exempt","N/A, Vehicle is exempt",IF(AND($O39="Non-Exempt",$L39&gt;=VLOOKUP($G39&amp;$J39,'DOER reference'!$W$4:$X$15,2,FALSE)),"Yes","No, please contact your Regional Coordinator")),""))</f>
        <v/>
      </c>
      <c r="Q39" s="380"/>
      <c r="R39" s="633"/>
    </row>
    <row r="40" spans="1:19" x14ac:dyDescent="0.2">
      <c r="A40" s="385"/>
      <c r="B40" s="632"/>
      <c r="C40" s="640"/>
      <c r="D40" s="641"/>
      <c r="E40" s="615"/>
      <c r="F40" s="615"/>
      <c r="G40" s="643"/>
      <c r="H40" s="615"/>
      <c r="I40" s="616"/>
      <c r="J40" s="615"/>
      <c r="K40" s="615"/>
      <c r="L40" s="617"/>
      <c r="M40" s="643"/>
      <c r="N40" s="656"/>
      <c r="O40" s="644" t="str">
        <f t="shared" si="1"/>
        <v/>
      </c>
      <c r="P40" s="658" t="str">
        <f>IF(O40="","",IFERROR(IF(O40="Exempt","N/A, Vehicle is exempt",IF(AND($O40="Non-Exempt",$L40&gt;=VLOOKUP($G40&amp;$J40,'DOER reference'!$W$4:$X$15,2,FALSE)),"Yes","No, please contact your Regional Coordinator")),""))</f>
        <v/>
      </c>
      <c r="Q40" s="380"/>
      <c r="R40" s="633"/>
    </row>
    <row r="41" spans="1:19" x14ac:dyDescent="0.2">
      <c r="A41" s="385"/>
      <c r="B41" s="632"/>
      <c r="C41" s="640"/>
      <c r="D41" s="641"/>
      <c r="E41" s="615"/>
      <c r="F41" s="615"/>
      <c r="G41" s="643"/>
      <c r="H41" s="615"/>
      <c r="I41" s="616"/>
      <c r="J41" s="615"/>
      <c r="K41" s="615"/>
      <c r="L41" s="617"/>
      <c r="M41" s="643"/>
      <c r="N41" s="656"/>
      <c r="O41" s="644" t="str">
        <f t="shared" si="1"/>
        <v/>
      </c>
      <c r="P41" s="658" t="str">
        <f>IF(O41="","",IFERROR(IF(O41="Exempt","N/A, Vehicle is exempt",IF(AND($O41="Non-Exempt",$L41&gt;=VLOOKUP($G41&amp;$J41,'DOER reference'!$W$4:$X$15,2,FALSE)),"Yes","No, please contact your Regional Coordinator")),""))</f>
        <v/>
      </c>
      <c r="Q41" s="380"/>
      <c r="R41" s="633"/>
    </row>
    <row r="42" spans="1:19" x14ac:dyDescent="0.2">
      <c r="A42" s="385"/>
      <c r="B42" s="632"/>
      <c r="C42" s="640"/>
      <c r="D42" s="641"/>
      <c r="E42" s="615"/>
      <c r="F42" s="615"/>
      <c r="G42" s="643"/>
      <c r="H42" s="615"/>
      <c r="I42" s="616"/>
      <c r="J42" s="615"/>
      <c r="K42" s="615"/>
      <c r="L42" s="617"/>
      <c r="M42" s="643"/>
      <c r="N42" s="656"/>
      <c r="O42" s="644" t="str">
        <f t="shared" si="1"/>
        <v/>
      </c>
      <c r="P42" s="658" t="str">
        <f>IF(O42="","",IFERROR(IF(O42="Exempt","N/A, Vehicle is exempt",IF(AND($O42="Non-Exempt",$L42&gt;=VLOOKUP($G42&amp;$J42,'DOER reference'!$W$4:$X$15,2,FALSE)),"Yes","No, please contact your Regional Coordinator")),""))</f>
        <v/>
      </c>
      <c r="Q42" s="380"/>
      <c r="R42" s="633"/>
    </row>
    <row r="43" spans="1:19" ht="13.5" thickBot="1" x14ac:dyDescent="0.25">
      <c r="A43" s="385"/>
      <c r="B43" s="632"/>
      <c r="C43" s="645"/>
      <c r="D43" s="646"/>
      <c r="E43" s="618"/>
      <c r="F43" s="615"/>
      <c r="G43" s="643"/>
      <c r="H43" s="618"/>
      <c r="I43" s="619"/>
      <c r="J43" s="618"/>
      <c r="K43" s="618"/>
      <c r="L43" s="620"/>
      <c r="M43" s="648"/>
      <c r="N43" s="657"/>
      <c r="O43" s="644" t="str">
        <f t="shared" si="1"/>
        <v/>
      </c>
      <c r="P43" s="658" t="str">
        <f>IF(O43="","",IFERROR(IF(O43="Exempt","N/A, Vehicle is exempt",IF(AND($O43="Non-Exempt",$L43&gt;=VLOOKUP($G43&amp;$J43,'DOER reference'!$W$4:$X$15,2,FALSE)),"Yes","No, please contact your Regional Coordinator")),""))</f>
        <v/>
      </c>
      <c r="Q43" s="380"/>
      <c r="R43" s="633"/>
    </row>
    <row r="44" spans="1:19" ht="20.45" customHeight="1" thickBot="1" x14ac:dyDescent="0.25">
      <c r="A44" s="385"/>
      <c r="B44" s="632"/>
      <c r="C44" s="482"/>
      <c r="D44" s="482"/>
      <c r="E44" s="482"/>
      <c r="F44" s="482"/>
      <c r="G44" s="483"/>
      <c r="H44" s="482"/>
      <c r="I44" s="482"/>
      <c r="J44" s="484"/>
      <c r="K44" s="482"/>
      <c r="L44" s="482"/>
      <c r="M44" s="482"/>
      <c r="N44" s="482"/>
      <c r="O44" s="482"/>
      <c r="P44" s="482"/>
      <c r="Q44" s="380"/>
      <c r="R44" s="633"/>
    </row>
    <row r="45" spans="1:19" ht="47.45" customHeight="1" x14ac:dyDescent="0.2">
      <c r="A45" s="385"/>
      <c r="B45" s="632"/>
      <c r="C45" s="1076" t="s">
        <v>397</v>
      </c>
      <c r="D45" s="1077"/>
      <c r="E45" s="1077"/>
      <c r="F45" s="1077"/>
      <c r="G45" s="1077"/>
      <c r="H45" s="1077"/>
      <c r="I45" s="1077"/>
      <c r="J45" s="1077"/>
      <c r="K45" s="1077"/>
      <c r="L45" s="1078"/>
      <c r="M45" s="1077"/>
      <c r="N45" s="1077"/>
      <c r="O45" s="1077"/>
      <c r="P45" s="1079"/>
      <c r="Q45" s="380"/>
      <c r="R45" s="633"/>
    </row>
    <row r="46" spans="1:19" ht="84.6" customHeight="1" x14ac:dyDescent="0.25">
      <c r="A46" s="385"/>
      <c r="B46" s="632"/>
      <c r="C46" s="624"/>
      <c r="D46" s="703" t="s">
        <v>399</v>
      </c>
      <c r="E46" s="704" t="s">
        <v>387</v>
      </c>
      <c r="F46" s="704" t="s">
        <v>388</v>
      </c>
      <c r="G46" s="704" t="s">
        <v>389</v>
      </c>
      <c r="H46" s="704" t="s">
        <v>390</v>
      </c>
      <c r="I46" s="704" t="s">
        <v>398</v>
      </c>
      <c r="J46" s="704" t="s">
        <v>392</v>
      </c>
      <c r="K46" s="705" t="s">
        <v>393</v>
      </c>
      <c r="L46" s="706"/>
      <c r="M46" s="707" t="s">
        <v>672</v>
      </c>
      <c r="N46" s="708" t="s">
        <v>668</v>
      </c>
      <c r="O46" s="709" t="s">
        <v>675</v>
      </c>
      <c r="P46" s="625"/>
      <c r="Q46" s="621"/>
      <c r="R46" s="633"/>
      <c r="S46" s="385"/>
    </row>
    <row r="47" spans="1:19" x14ac:dyDescent="0.2">
      <c r="A47" s="385"/>
      <c r="B47" s="632"/>
      <c r="C47" s="624"/>
      <c r="D47" s="650" t="s">
        <v>407</v>
      </c>
      <c r="E47" s="615" t="s">
        <v>402</v>
      </c>
      <c r="F47" s="615" t="s">
        <v>838</v>
      </c>
      <c r="G47" s="642" t="s">
        <v>460</v>
      </c>
      <c r="H47" s="615">
        <v>2001</v>
      </c>
      <c r="I47" s="616" t="s">
        <v>841</v>
      </c>
      <c r="J47" s="615" t="s">
        <v>415</v>
      </c>
      <c r="K47" s="622" t="s">
        <v>401</v>
      </c>
      <c r="L47" s="651"/>
      <c r="M47" s="652" t="s">
        <v>842</v>
      </c>
      <c r="N47" s="643" t="s">
        <v>400</v>
      </c>
      <c r="O47" s="644" t="str">
        <f>IF(K47="","",IF(K47="&lt;Select One&gt;","",IF(N47="","",IF(K47="Y","Exempt",IF(N47="Y","Exempt","Non-Exempt")))))</f>
        <v>Exempt</v>
      </c>
      <c r="P47" s="625"/>
      <c r="Q47" s="621"/>
      <c r="R47" s="633"/>
      <c r="S47" s="385"/>
    </row>
    <row r="48" spans="1:19" x14ac:dyDescent="0.2">
      <c r="A48" s="385"/>
      <c r="B48" s="632"/>
      <c r="C48" s="624"/>
      <c r="D48" s="650" t="s">
        <v>407</v>
      </c>
      <c r="E48" s="615" t="s">
        <v>839</v>
      </c>
      <c r="F48" s="615" t="s">
        <v>840</v>
      </c>
      <c r="G48" s="642" t="s">
        <v>249</v>
      </c>
      <c r="H48" s="615">
        <v>1983</v>
      </c>
      <c r="I48" s="616" t="s">
        <v>841</v>
      </c>
      <c r="J48" s="615" t="s">
        <v>404</v>
      </c>
      <c r="K48" s="622" t="s">
        <v>401</v>
      </c>
      <c r="L48" s="651"/>
      <c r="M48" s="652" t="s">
        <v>843</v>
      </c>
      <c r="N48" s="643" t="s">
        <v>401</v>
      </c>
      <c r="O48" s="644" t="str">
        <f>IF(K48="","",IF(K48="&lt;Select One&gt;","",IF(N48="","",IF(K48="Y","Exempt",IF(N48="Y","Exempt","Non-Exempt")))))</f>
        <v>Exempt</v>
      </c>
      <c r="P48" s="625"/>
      <c r="Q48" s="621"/>
      <c r="R48" s="633"/>
      <c r="S48" s="385"/>
    </row>
    <row r="49" spans="1:19" x14ac:dyDescent="0.2">
      <c r="A49" s="385"/>
      <c r="B49" s="632"/>
      <c r="C49" s="624"/>
      <c r="D49" s="650"/>
      <c r="E49" s="615"/>
      <c r="F49" s="615"/>
      <c r="G49" s="642"/>
      <c r="H49" s="615"/>
      <c r="I49" s="616"/>
      <c r="J49" s="615"/>
      <c r="K49" s="622"/>
      <c r="L49" s="651"/>
      <c r="M49" s="652"/>
      <c r="N49" s="643"/>
      <c r="O49" s="644" t="str">
        <f t="shared" ref="O49:O80" si="2">IF(K49="","",IF(K49="&lt;Select One&gt;","",IF(N49="","",IF(K49="Y","Exempt",IF(N49="Y","Exempt","Non-Exempt")))))</f>
        <v/>
      </c>
      <c r="P49" s="625"/>
      <c r="Q49" s="621"/>
      <c r="R49" s="633"/>
      <c r="S49" s="385"/>
    </row>
    <row r="50" spans="1:19" x14ac:dyDescent="0.2">
      <c r="A50" s="385"/>
      <c r="B50" s="632"/>
      <c r="C50" s="624"/>
      <c r="D50" s="650"/>
      <c r="E50" s="615"/>
      <c r="F50" s="615"/>
      <c r="G50" s="642"/>
      <c r="H50" s="615"/>
      <c r="I50" s="616"/>
      <c r="J50" s="615"/>
      <c r="K50" s="622"/>
      <c r="L50" s="651"/>
      <c r="M50" s="652"/>
      <c r="N50" s="642"/>
      <c r="O50" s="644" t="str">
        <f t="shared" si="2"/>
        <v/>
      </c>
      <c r="P50" s="625"/>
      <c r="Q50" s="621"/>
      <c r="R50" s="633"/>
      <c r="S50" s="385"/>
    </row>
    <row r="51" spans="1:19" x14ac:dyDescent="0.2">
      <c r="A51" s="385"/>
      <c r="B51" s="632"/>
      <c r="C51" s="624"/>
      <c r="D51" s="650"/>
      <c r="E51" s="615"/>
      <c r="F51" s="615"/>
      <c r="G51" s="642"/>
      <c r="H51" s="615"/>
      <c r="I51" s="616"/>
      <c r="J51" s="615"/>
      <c r="K51" s="622"/>
      <c r="L51" s="651"/>
      <c r="M51" s="652"/>
      <c r="N51" s="642"/>
      <c r="O51" s="644" t="str">
        <f t="shared" si="2"/>
        <v/>
      </c>
      <c r="P51" s="625"/>
      <c r="Q51" s="621"/>
      <c r="R51" s="633"/>
      <c r="S51" s="385"/>
    </row>
    <row r="52" spans="1:19" x14ac:dyDescent="0.2">
      <c r="A52" s="385"/>
      <c r="B52" s="632"/>
      <c r="C52" s="624"/>
      <c r="D52" s="650"/>
      <c r="E52" s="615"/>
      <c r="F52" s="615"/>
      <c r="G52" s="642"/>
      <c r="H52" s="615"/>
      <c r="I52" s="616"/>
      <c r="J52" s="615"/>
      <c r="K52" s="622"/>
      <c r="L52" s="651"/>
      <c r="M52" s="652"/>
      <c r="N52" s="642"/>
      <c r="O52" s="644" t="str">
        <f t="shared" si="2"/>
        <v/>
      </c>
      <c r="P52" s="625"/>
      <c r="Q52" s="621"/>
      <c r="R52" s="633"/>
      <c r="S52" s="385"/>
    </row>
    <row r="53" spans="1:19" x14ac:dyDescent="0.2">
      <c r="A53" s="385"/>
      <c r="B53" s="632"/>
      <c r="C53" s="624"/>
      <c r="D53" s="650"/>
      <c r="E53" s="615"/>
      <c r="F53" s="615"/>
      <c r="G53" s="642"/>
      <c r="H53" s="615"/>
      <c r="I53" s="616"/>
      <c r="J53" s="615"/>
      <c r="K53" s="622"/>
      <c r="L53" s="651"/>
      <c r="M53" s="652"/>
      <c r="N53" s="642"/>
      <c r="O53" s="644" t="str">
        <f t="shared" si="2"/>
        <v/>
      </c>
      <c r="P53" s="625"/>
      <c r="Q53" s="621"/>
      <c r="R53" s="633"/>
      <c r="S53" s="385"/>
    </row>
    <row r="54" spans="1:19" x14ac:dyDescent="0.2">
      <c r="A54" s="385"/>
      <c r="B54" s="632"/>
      <c r="C54" s="624"/>
      <c r="D54" s="650"/>
      <c r="E54" s="615"/>
      <c r="F54" s="615"/>
      <c r="G54" s="642"/>
      <c r="H54" s="615"/>
      <c r="I54" s="616"/>
      <c r="J54" s="615"/>
      <c r="K54" s="622"/>
      <c r="L54" s="651"/>
      <c r="M54" s="652"/>
      <c r="N54" s="642"/>
      <c r="O54" s="644" t="str">
        <f t="shared" si="2"/>
        <v/>
      </c>
      <c r="P54" s="625"/>
      <c r="Q54" s="621"/>
      <c r="R54" s="633"/>
      <c r="S54" s="385"/>
    </row>
    <row r="55" spans="1:19" x14ac:dyDescent="0.2">
      <c r="A55" s="385"/>
      <c r="B55" s="632"/>
      <c r="C55" s="624"/>
      <c r="D55" s="650"/>
      <c r="E55" s="615"/>
      <c r="F55" s="615"/>
      <c r="G55" s="642"/>
      <c r="H55" s="615"/>
      <c r="I55" s="616"/>
      <c r="J55" s="615"/>
      <c r="K55" s="622"/>
      <c r="L55" s="651"/>
      <c r="M55" s="652"/>
      <c r="N55" s="642"/>
      <c r="O55" s="644" t="str">
        <f t="shared" si="2"/>
        <v/>
      </c>
      <c r="P55" s="625"/>
      <c r="Q55" s="621"/>
      <c r="R55" s="633"/>
      <c r="S55" s="385"/>
    </row>
    <row r="56" spans="1:19" x14ac:dyDescent="0.2">
      <c r="A56" s="385"/>
      <c r="B56" s="632"/>
      <c r="C56" s="624"/>
      <c r="D56" s="650"/>
      <c r="E56" s="615"/>
      <c r="F56" s="615"/>
      <c r="G56" s="642"/>
      <c r="H56" s="615"/>
      <c r="I56" s="616"/>
      <c r="J56" s="615"/>
      <c r="K56" s="622"/>
      <c r="L56" s="651"/>
      <c r="M56" s="652"/>
      <c r="N56" s="642"/>
      <c r="O56" s="644" t="str">
        <f t="shared" si="2"/>
        <v/>
      </c>
      <c r="P56" s="625"/>
      <c r="Q56" s="621"/>
      <c r="R56" s="633"/>
      <c r="S56" s="385"/>
    </row>
    <row r="57" spans="1:19" x14ac:dyDescent="0.2">
      <c r="A57" s="385"/>
      <c r="B57" s="632"/>
      <c r="C57" s="624"/>
      <c r="D57" s="650"/>
      <c r="E57" s="615"/>
      <c r="F57" s="615"/>
      <c r="G57" s="642"/>
      <c r="H57" s="615"/>
      <c r="I57" s="616"/>
      <c r="J57" s="615"/>
      <c r="K57" s="622"/>
      <c r="L57" s="651"/>
      <c r="M57" s="652"/>
      <c r="N57" s="642"/>
      <c r="O57" s="644" t="str">
        <f t="shared" si="2"/>
        <v/>
      </c>
      <c r="P57" s="625"/>
      <c r="Q57" s="621"/>
      <c r="R57" s="633"/>
      <c r="S57" s="385"/>
    </row>
    <row r="58" spans="1:19" x14ac:dyDescent="0.2">
      <c r="A58" s="385"/>
      <c r="B58" s="632"/>
      <c r="C58" s="624"/>
      <c r="D58" s="650"/>
      <c r="E58" s="615"/>
      <c r="F58" s="615"/>
      <c r="G58" s="642"/>
      <c r="H58" s="615"/>
      <c r="I58" s="616"/>
      <c r="J58" s="615"/>
      <c r="K58" s="622"/>
      <c r="L58" s="651"/>
      <c r="M58" s="652"/>
      <c r="N58" s="642"/>
      <c r="O58" s="644" t="str">
        <f t="shared" si="2"/>
        <v/>
      </c>
      <c r="P58" s="625"/>
      <c r="Q58" s="621"/>
      <c r="R58" s="633"/>
      <c r="S58" s="385"/>
    </row>
    <row r="59" spans="1:19" x14ac:dyDescent="0.2">
      <c r="A59" s="385"/>
      <c r="B59" s="632"/>
      <c r="C59" s="624"/>
      <c r="D59" s="650"/>
      <c r="E59" s="615"/>
      <c r="F59" s="615"/>
      <c r="G59" s="642"/>
      <c r="H59" s="615"/>
      <c r="I59" s="616"/>
      <c r="J59" s="615"/>
      <c r="K59" s="622"/>
      <c r="L59" s="651"/>
      <c r="M59" s="652"/>
      <c r="N59" s="642"/>
      <c r="O59" s="644" t="str">
        <f t="shared" si="2"/>
        <v/>
      </c>
      <c r="P59" s="625"/>
      <c r="Q59" s="621"/>
      <c r="R59" s="633"/>
      <c r="S59" s="385"/>
    </row>
    <row r="60" spans="1:19" x14ac:dyDescent="0.2">
      <c r="A60" s="385"/>
      <c r="B60" s="632"/>
      <c r="C60" s="624"/>
      <c r="D60" s="650"/>
      <c r="E60" s="615"/>
      <c r="F60" s="615"/>
      <c r="G60" s="642"/>
      <c r="H60" s="615"/>
      <c r="I60" s="616"/>
      <c r="J60" s="615"/>
      <c r="K60" s="622"/>
      <c r="L60" s="651"/>
      <c r="M60" s="652"/>
      <c r="N60" s="642"/>
      <c r="O60" s="644" t="str">
        <f t="shared" si="2"/>
        <v/>
      </c>
      <c r="P60" s="625"/>
      <c r="Q60" s="621"/>
      <c r="R60" s="633"/>
      <c r="S60" s="385"/>
    </row>
    <row r="61" spans="1:19" x14ac:dyDescent="0.2">
      <c r="A61" s="385"/>
      <c r="B61" s="632"/>
      <c r="C61" s="624"/>
      <c r="D61" s="650"/>
      <c r="E61" s="615"/>
      <c r="F61" s="615"/>
      <c r="G61" s="642"/>
      <c r="H61" s="615"/>
      <c r="I61" s="616"/>
      <c r="J61" s="615"/>
      <c r="K61" s="622"/>
      <c r="L61" s="651"/>
      <c r="M61" s="652"/>
      <c r="N61" s="642"/>
      <c r="O61" s="644" t="str">
        <f t="shared" si="2"/>
        <v/>
      </c>
      <c r="P61" s="625"/>
      <c r="Q61" s="621"/>
      <c r="R61" s="633"/>
      <c r="S61" s="385"/>
    </row>
    <row r="62" spans="1:19" x14ac:dyDescent="0.2">
      <c r="A62" s="385"/>
      <c r="B62" s="632"/>
      <c r="C62" s="624"/>
      <c r="D62" s="650"/>
      <c r="E62" s="615"/>
      <c r="F62" s="615"/>
      <c r="G62" s="642"/>
      <c r="H62" s="615"/>
      <c r="I62" s="616"/>
      <c r="J62" s="615"/>
      <c r="K62" s="622"/>
      <c r="L62" s="651"/>
      <c r="M62" s="652"/>
      <c r="N62" s="642"/>
      <c r="O62" s="644" t="str">
        <f t="shared" si="2"/>
        <v/>
      </c>
      <c r="P62" s="625"/>
      <c r="Q62" s="621"/>
      <c r="R62" s="633"/>
      <c r="S62" s="385"/>
    </row>
    <row r="63" spans="1:19" x14ac:dyDescent="0.2">
      <c r="A63" s="385"/>
      <c r="B63" s="632"/>
      <c r="C63" s="624"/>
      <c r="D63" s="650"/>
      <c r="E63" s="615"/>
      <c r="F63" s="615"/>
      <c r="G63" s="642"/>
      <c r="H63" s="615"/>
      <c r="I63" s="616"/>
      <c r="J63" s="615"/>
      <c r="K63" s="622"/>
      <c r="L63" s="651"/>
      <c r="M63" s="652"/>
      <c r="N63" s="642"/>
      <c r="O63" s="644" t="str">
        <f t="shared" si="2"/>
        <v/>
      </c>
      <c r="P63" s="625"/>
      <c r="Q63" s="621"/>
      <c r="R63" s="633"/>
      <c r="S63" s="385"/>
    </row>
    <row r="64" spans="1:19" x14ac:dyDescent="0.2">
      <c r="A64" s="385"/>
      <c r="B64" s="632"/>
      <c r="C64" s="624"/>
      <c r="D64" s="650"/>
      <c r="E64" s="615"/>
      <c r="F64" s="615"/>
      <c r="G64" s="642"/>
      <c r="H64" s="615"/>
      <c r="I64" s="616"/>
      <c r="J64" s="615"/>
      <c r="K64" s="622"/>
      <c r="L64" s="651"/>
      <c r="M64" s="652"/>
      <c r="N64" s="642"/>
      <c r="O64" s="644" t="str">
        <f t="shared" si="2"/>
        <v/>
      </c>
      <c r="P64" s="625"/>
      <c r="Q64" s="621"/>
      <c r="R64" s="633"/>
      <c r="S64" s="385"/>
    </row>
    <row r="65" spans="1:19" x14ac:dyDescent="0.2">
      <c r="A65" s="385"/>
      <c r="B65" s="632"/>
      <c r="C65" s="624"/>
      <c r="D65" s="650"/>
      <c r="E65" s="615"/>
      <c r="F65" s="615"/>
      <c r="G65" s="642"/>
      <c r="H65" s="615"/>
      <c r="I65" s="616"/>
      <c r="J65" s="615"/>
      <c r="K65" s="622"/>
      <c r="L65" s="651"/>
      <c r="M65" s="652"/>
      <c r="N65" s="642"/>
      <c r="O65" s="644" t="str">
        <f t="shared" si="2"/>
        <v/>
      </c>
      <c r="P65" s="625"/>
      <c r="Q65" s="621"/>
      <c r="R65" s="633"/>
      <c r="S65" s="385"/>
    </row>
    <row r="66" spans="1:19" x14ac:dyDescent="0.2">
      <c r="A66" s="385"/>
      <c r="B66" s="632"/>
      <c r="C66" s="624"/>
      <c r="D66" s="650"/>
      <c r="E66" s="615"/>
      <c r="F66" s="615"/>
      <c r="G66" s="642"/>
      <c r="H66" s="615"/>
      <c r="I66" s="616"/>
      <c r="J66" s="615"/>
      <c r="K66" s="622"/>
      <c r="L66" s="651"/>
      <c r="M66" s="652"/>
      <c r="N66" s="642"/>
      <c r="O66" s="644" t="str">
        <f t="shared" si="2"/>
        <v/>
      </c>
      <c r="P66" s="625"/>
      <c r="Q66" s="621"/>
      <c r="R66" s="633"/>
      <c r="S66" s="385"/>
    </row>
    <row r="67" spans="1:19" x14ac:dyDescent="0.2">
      <c r="A67" s="385"/>
      <c r="B67" s="632"/>
      <c r="C67" s="624"/>
      <c r="D67" s="650"/>
      <c r="E67" s="615"/>
      <c r="F67" s="615"/>
      <c r="G67" s="642"/>
      <c r="H67" s="615"/>
      <c r="I67" s="616"/>
      <c r="J67" s="615"/>
      <c r="K67" s="622"/>
      <c r="L67" s="651"/>
      <c r="M67" s="652"/>
      <c r="N67" s="642"/>
      <c r="O67" s="644" t="str">
        <f t="shared" si="2"/>
        <v/>
      </c>
      <c r="P67" s="625"/>
      <c r="Q67" s="621"/>
      <c r="R67" s="633"/>
      <c r="S67" s="385"/>
    </row>
    <row r="68" spans="1:19" x14ac:dyDescent="0.2">
      <c r="A68" s="385"/>
      <c r="B68" s="632"/>
      <c r="C68" s="624"/>
      <c r="D68" s="650"/>
      <c r="E68" s="615"/>
      <c r="F68" s="615"/>
      <c r="G68" s="642"/>
      <c r="H68" s="615"/>
      <c r="I68" s="616"/>
      <c r="J68" s="615"/>
      <c r="K68" s="622"/>
      <c r="L68" s="651"/>
      <c r="M68" s="652"/>
      <c r="N68" s="642"/>
      <c r="O68" s="644" t="str">
        <f t="shared" si="2"/>
        <v/>
      </c>
      <c r="P68" s="625"/>
      <c r="Q68" s="621"/>
      <c r="R68" s="633"/>
      <c r="S68" s="385"/>
    </row>
    <row r="69" spans="1:19" x14ac:dyDescent="0.2">
      <c r="A69" s="385"/>
      <c r="B69" s="632"/>
      <c r="C69" s="624"/>
      <c r="D69" s="650"/>
      <c r="E69" s="615"/>
      <c r="F69" s="615"/>
      <c r="G69" s="642"/>
      <c r="H69" s="615"/>
      <c r="I69" s="616"/>
      <c r="J69" s="615"/>
      <c r="K69" s="622"/>
      <c r="L69" s="651"/>
      <c r="M69" s="652"/>
      <c r="N69" s="642"/>
      <c r="O69" s="644" t="str">
        <f t="shared" si="2"/>
        <v/>
      </c>
      <c r="P69" s="625"/>
      <c r="Q69" s="621"/>
      <c r="R69" s="633"/>
      <c r="S69" s="385"/>
    </row>
    <row r="70" spans="1:19" x14ac:dyDescent="0.2">
      <c r="A70" s="385"/>
      <c r="B70" s="632"/>
      <c r="C70" s="624"/>
      <c r="D70" s="650"/>
      <c r="E70" s="615"/>
      <c r="F70" s="615"/>
      <c r="G70" s="642"/>
      <c r="H70" s="615"/>
      <c r="I70" s="616"/>
      <c r="J70" s="615"/>
      <c r="K70" s="622"/>
      <c r="L70" s="651"/>
      <c r="M70" s="652"/>
      <c r="N70" s="642"/>
      <c r="O70" s="644" t="str">
        <f t="shared" si="2"/>
        <v/>
      </c>
      <c r="P70" s="625"/>
      <c r="Q70" s="621"/>
      <c r="R70" s="633"/>
      <c r="S70" s="385"/>
    </row>
    <row r="71" spans="1:19" x14ac:dyDescent="0.2">
      <c r="A71" s="385"/>
      <c r="B71" s="632"/>
      <c r="C71" s="624"/>
      <c r="D71" s="650"/>
      <c r="E71" s="615"/>
      <c r="F71" s="615"/>
      <c r="G71" s="642"/>
      <c r="H71" s="615"/>
      <c r="I71" s="616"/>
      <c r="J71" s="615"/>
      <c r="K71" s="622"/>
      <c r="L71" s="651"/>
      <c r="M71" s="652"/>
      <c r="N71" s="642"/>
      <c r="O71" s="644" t="str">
        <f t="shared" si="2"/>
        <v/>
      </c>
      <c r="P71" s="625"/>
      <c r="Q71" s="621"/>
      <c r="R71" s="633"/>
      <c r="S71" s="385"/>
    </row>
    <row r="72" spans="1:19" x14ac:dyDescent="0.2">
      <c r="A72" s="385"/>
      <c r="B72" s="632"/>
      <c r="C72" s="624"/>
      <c r="D72" s="650"/>
      <c r="E72" s="615"/>
      <c r="F72" s="615"/>
      <c r="G72" s="642"/>
      <c r="H72" s="615"/>
      <c r="I72" s="616"/>
      <c r="J72" s="615"/>
      <c r="K72" s="622"/>
      <c r="L72" s="651"/>
      <c r="M72" s="652"/>
      <c r="N72" s="642"/>
      <c r="O72" s="644" t="str">
        <f t="shared" si="2"/>
        <v/>
      </c>
      <c r="P72" s="625"/>
      <c r="Q72" s="621"/>
      <c r="R72" s="633"/>
      <c r="S72" s="385"/>
    </row>
    <row r="73" spans="1:19" x14ac:dyDescent="0.2">
      <c r="A73" s="385"/>
      <c r="B73" s="632"/>
      <c r="C73" s="624"/>
      <c r="D73" s="650"/>
      <c r="E73" s="615"/>
      <c r="F73" s="615"/>
      <c r="G73" s="642"/>
      <c r="H73" s="615"/>
      <c r="I73" s="616"/>
      <c r="J73" s="615"/>
      <c r="K73" s="622"/>
      <c r="L73" s="651"/>
      <c r="M73" s="652"/>
      <c r="N73" s="642"/>
      <c r="O73" s="644" t="str">
        <f t="shared" si="2"/>
        <v/>
      </c>
      <c r="P73" s="625"/>
      <c r="Q73" s="621"/>
      <c r="R73" s="633"/>
      <c r="S73" s="385"/>
    </row>
    <row r="74" spans="1:19" x14ac:dyDescent="0.2">
      <c r="A74" s="385"/>
      <c r="B74" s="632"/>
      <c r="C74" s="624"/>
      <c r="D74" s="650"/>
      <c r="E74" s="615"/>
      <c r="F74" s="615"/>
      <c r="G74" s="642"/>
      <c r="H74" s="615"/>
      <c r="I74" s="616"/>
      <c r="J74" s="615"/>
      <c r="K74" s="622"/>
      <c r="L74" s="651"/>
      <c r="M74" s="652"/>
      <c r="N74" s="642"/>
      <c r="O74" s="644" t="str">
        <f t="shared" si="2"/>
        <v/>
      </c>
      <c r="P74" s="625"/>
      <c r="Q74" s="621"/>
      <c r="R74" s="633"/>
      <c r="S74" s="385"/>
    </row>
    <row r="75" spans="1:19" x14ac:dyDescent="0.2">
      <c r="A75" s="385"/>
      <c r="B75" s="632"/>
      <c r="C75" s="624"/>
      <c r="D75" s="650"/>
      <c r="E75" s="615"/>
      <c r="F75" s="615"/>
      <c r="G75" s="642"/>
      <c r="H75" s="615"/>
      <c r="I75" s="616"/>
      <c r="J75" s="615"/>
      <c r="K75" s="622"/>
      <c r="L75" s="651"/>
      <c r="M75" s="652"/>
      <c r="N75" s="642"/>
      <c r="O75" s="644" t="str">
        <f t="shared" si="2"/>
        <v/>
      </c>
      <c r="P75" s="625"/>
      <c r="Q75" s="621"/>
      <c r="R75" s="633"/>
      <c r="S75" s="385"/>
    </row>
    <row r="76" spans="1:19" x14ac:dyDescent="0.2">
      <c r="A76" s="385"/>
      <c r="B76" s="632"/>
      <c r="C76" s="624"/>
      <c r="D76" s="650"/>
      <c r="E76" s="615"/>
      <c r="F76" s="615"/>
      <c r="G76" s="642"/>
      <c r="H76" s="615"/>
      <c r="I76" s="616"/>
      <c r="J76" s="615"/>
      <c r="K76" s="622"/>
      <c r="L76" s="651"/>
      <c r="M76" s="652"/>
      <c r="N76" s="642"/>
      <c r="O76" s="644" t="str">
        <f t="shared" si="2"/>
        <v/>
      </c>
      <c r="P76" s="625"/>
      <c r="Q76" s="621"/>
      <c r="R76" s="633"/>
      <c r="S76" s="385"/>
    </row>
    <row r="77" spans="1:19" x14ac:dyDescent="0.2">
      <c r="A77" s="385"/>
      <c r="B77" s="632"/>
      <c r="C77" s="624"/>
      <c r="D77" s="650"/>
      <c r="E77" s="615"/>
      <c r="F77" s="615"/>
      <c r="G77" s="642"/>
      <c r="H77" s="615"/>
      <c r="I77" s="616"/>
      <c r="J77" s="615"/>
      <c r="K77" s="622"/>
      <c r="L77" s="651"/>
      <c r="M77" s="652"/>
      <c r="N77" s="642"/>
      <c r="O77" s="644" t="str">
        <f t="shared" si="2"/>
        <v/>
      </c>
      <c r="P77" s="625"/>
      <c r="Q77" s="621"/>
      <c r="R77" s="633"/>
      <c r="S77" s="385"/>
    </row>
    <row r="78" spans="1:19" x14ac:dyDescent="0.2">
      <c r="A78" s="385"/>
      <c r="B78" s="632"/>
      <c r="C78" s="624"/>
      <c r="D78" s="650"/>
      <c r="E78" s="615"/>
      <c r="F78" s="615"/>
      <c r="G78" s="642"/>
      <c r="H78" s="615"/>
      <c r="I78" s="616"/>
      <c r="J78" s="615"/>
      <c r="K78" s="622"/>
      <c r="L78" s="651"/>
      <c r="M78" s="652"/>
      <c r="N78" s="642"/>
      <c r="O78" s="644" t="str">
        <f t="shared" si="2"/>
        <v/>
      </c>
      <c r="P78" s="625"/>
      <c r="Q78" s="621"/>
      <c r="R78" s="633"/>
      <c r="S78" s="385"/>
    </row>
    <row r="79" spans="1:19" x14ac:dyDescent="0.2">
      <c r="A79" s="385"/>
      <c r="B79" s="632"/>
      <c r="C79" s="624"/>
      <c r="D79" s="650"/>
      <c r="E79" s="615"/>
      <c r="F79" s="615"/>
      <c r="G79" s="642"/>
      <c r="H79" s="615"/>
      <c r="I79" s="616"/>
      <c r="J79" s="615"/>
      <c r="K79" s="622"/>
      <c r="L79" s="651"/>
      <c r="M79" s="652"/>
      <c r="N79" s="642"/>
      <c r="O79" s="644" t="str">
        <f t="shared" si="2"/>
        <v/>
      </c>
      <c r="P79" s="625"/>
      <c r="Q79" s="621"/>
      <c r="R79" s="633"/>
      <c r="S79" s="385"/>
    </row>
    <row r="80" spans="1:19" ht="13.5" thickBot="1" x14ac:dyDescent="0.25">
      <c r="A80" s="385"/>
      <c r="B80" s="632"/>
      <c r="C80" s="626"/>
      <c r="D80" s="653"/>
      <c r="E80" s="618"/>
      <c r="F80" s="618"/>
      <c r="G80" s="647"/>
      <c r="H80" s="618"/>
      <c r="I80" s="619"/>
      <c r="J80" s="618"/>
      <c r="K80" s="627"/>
      <c r="L80" s="654"/>
      <c r="M80" s="655"/>
      <c r="N80" s="647"/>
      <c r="O80" s="649" t="str">
        <f t="shared" si="2"/>
        <v/>
      </c>
      <c r="P80" s="628"/>
      <c r="Q80" s="621"/>
      <c r="R80" s="633"/>
      <c r="S80" s="385"/>
    </row>
    <row r="81" spans="1:19" x14ac:dyDescent="0.2">
      <c r="A81" s="385"/>
      <c r="B81" s="632"/>
      <c r="C81" s="380"/>
      <c r="D81" s="380"/>
      <c r="E81" s="380"/>
      <c r="F81" s="380"/>
      <c r="G81" s="380"/>
      <c r="H81" s="418"/>
      <c r="I81" s="380"/>
      <c r="J81" s="380"/>
      <c r="K81" s="418"/>
      <c r="L81" s="380"/>
      <c r="M81" s="380"/>
      <c r="N81" s="380"/>
      <c r="O81" s="380"/>
      <c r="P81" s="380"/>
      <c r="Q81" s="380"/>
      <c r="R81" s="633"/>
      <c r="S81" s="385"/>
    </row>
    <row r="82" spans="1:19" x14ac:dyDescent="0.2">
      <c r="A82" s="385"/>
      <c r="B82" s="635"/>
      <c r="C82" s="636"/>
      <c r="D82" s="636"/>
      <c r="E82" s="636"/>
      <c r="F82" s="636"/>
      <c r="G82" s="636"/>
      <c r="H82" s="637"/>
      <c r="I82" s="636"/>
      <c r="J82" s="636"/>
      <c r="K82" s="637"/>
      <c r="L82" s="636"/>
      <c r="M82" s="636"/>
      <c r="N82" s="636"/>
      <c r="O82" s="636"/>
      <c r="P82" s="636"/>
      <c r="Q82" s="636"/>
      <c r="R82" s="638"/>
      <c r="S82" s="385"/>
    </row>
    <row r="83" spans="1:19" x14ac:dyDescent="0.2">
      <c r="A83" s="385"/>
      <c r="B83" s="385"/>
      <c r="C83" s="385"/>
      <c r="D83" s="385"/>
      <c r="E83" s="385"/>
      <c r="F83" s="385"/>
      <c r="G83" s="387"/>
      <c r="H83" s="385"/>
      <c r="I83" s="385"/>
      <c r="J83" s="387"/>
      <c r="K83" s="385"/>
      <c r="L83" s="385"/>
      <c r="M83" s="385"/>
      <c r="N83" s="385"/>
      <c r="O83" s="416"/>
      <c r="P83" s="385"/>
      <c r="Q83" s="385"/>
      <c r="R83" s="416"/>
    </row>
    <row r="84" spans="1:19" x14ac:dyDescent="0.2">
      <c r="A84" s="385"/>
      <c r="B84" s="385"/>
      <c r="C84" s="385"/>
      <c r="D84" s="385"/>
      <c r="E84" s="385"/>
      <c r="F84" s="385"/>
      <c r="G84" s="387"/>
      <c r="H84" s="385"/>
      <c r="I84" s="385"/>
      <c r="J84" s="387"/>
      <c r="K84" s="385"/>
      <c r="L84" s="385"/>
      <c r="M84" s="385"/>
      <c r="N84" s="385"/>
      <c r="O84" s="416"/>
      <c r="P84" s="385"/>
      <c r="Q84" s="385"/>
      <c r="R84" s="416"/>
    </row>
    <row r="85" spans="1:19" x14ac:dyDescent="0.2">
      <c r="A85" s="385"/>
      <c r="B85" s="385"/>
      <c r="C85" s="385"/>
      <c r="D85" s="385"/>
      <c r="E85" s="385"/>
      <c r="F85" s="385"/>
      <c r="G85" s="387"/>
      <c r="H85" s="385"/>
      <c r="I85" s="385"/>
      <c r="J85" s="387"/>
      <c r="K85" s="385"/>
      <c r="L85" s="385"/>
      <c r="M85" s="385"/>
      <c r="N85" s="385"/>
      <c r="O85" s="416"/>
      <c r="P85" s="385"/>
      <c r="Q85" s="385"/>
      <c r="R85" s="416"/>
    </row>
    <row r="86" spans="1:19" x14ac:dyDescent="0.2">
      <c r="G86" s="319"/>
      <c r="J86" s="319"/>
      <c r="O86" s="410"/>
      <c r="Q86" s="411"/>
      <c r="R86" s="410"/>
    </row>
    <row r="87" spans="1:19" x14ac:dyDescent="0.2">
      <c r="G87" s="319"/>
      <c r="J87" s="319"/>
      <c r="O87" s="410"/>
      <c r="Q87" s="411"/>
      <c r="R87" s="410"/>
    </row>
    <row r="88" spans="1:19" x14ac:dyDescent="0.2">
      <c r="G88" s="319"/>
      <c r="J88" s="319"/>
      <c r="O88" s="410"/>
    </row>
    <row r="89" spans="1:19" x14ac:dyDescent="0.2">
      <c r="G89" s="319"/>
      <c r="J89" s="319"/>
      <c r="O89" s="410"/>
    </row>
    <row r="90" spans="1:19" x14ac:dyDescent="0.2">
      <c r="G90" s="319"/>
      <c r="J90" s="319"/>
      <c r="O90" s="410"/>
    </row>
    <row r="91" spans="1:19" x14ac:dyDescent="0.2">
      <c r="G91" s="319"/>
      <c r="J91" s="319"/>
      <c r="O91" s="410"/>
    </row>
    <row r="92" spans="1:19" x14ac:dyDescent="0.2">
      <c r="G92" s="319"/>
      <c r="J92" s="319"/>
      <c r="O92" s="410"/>
    </row>
    <row r="93" spans="1:19" x14ac:dyDescent="0.2">
      <c r="G93" s="319"/>
      <c r="J93" s="319"/>
      <c r="O93" s="410"/>
    </row>
    <row r="94" spans="1:19" x14ac:dyDescent="0.2">
      <c r="G94" s="319"/>
      <c r="J94" s="319"/>
      <c r="O94" s="410"/>
    </row>
    <row r="95" spans="1:19" x14ac:dyDescent="0.2">
      <c r="G95" s="319"/>
      <c r="J95" s="319"/>
      <c r="O95" s="410"/>
    </row>
    <row r="96" spans="1:19" x14ac:dyDescent="0.2">
      <c r="G96" s="319"/>
      <c r="J96" s="319"/>
    </row>
    <row r="97" spans="7:10" x14ac:dyDescent="0.2">
      <c r="G97" s="319"/>
      <c r="J97" s="319"/>
    </row>
    <row r="98" spans="7:10" x14ac:dyDescent="0.2">
      <c r="G98" s="319"/>
      <c r="J98" s="319"/>
    </row>
    <row r="99" spans="7:10" x14ac:dyDescent="0.2">
      <c r="G99" s="319"/>
      <c r="J99" s="319"/>
    </row>
    <row r="100" spans="7:10" x14ac:dyDescent="0.2">
      <c r="G100" s="319"/>
      <c r="J100" s="319"/>
    </row>
    <row r="101" spans="7:10" x14ac:dyDescent="0.2">
      <c r="G101" s="319"/>
      <c r="J101" s="319"/>
    </row>
    <row r="102" spans="7:10" x14ac:dyDescent="0.2">
      <c r="G102" s="319"/>
      <c r="J102" s="319"/>
    </row>
    <row r="103" spans="7:10" x14ac:dyDescent="0.2">
      <c r="G103" s="319"/>
      <c r="J103" s="319"/>
    </row>
    <row r="104" spans="7:10" x14ac:dyDescent="0.2">
      <c r="G104" s="319"/>
      <c r="J104" s="319"/>
    </row>
    <row r="105" spans="7:10" x14ac:dyDescent="0.2">
      <c r="G105" s="319"/>
      <c r="J105" s="319"/>
    </row>
  </sheetData>
  <sheetProtection algorithmName="SHA-512" hashValue="V2WXdAYcSjElCSda1CnxutbVtPNEa6fAkVZ5fcNyFuBU3X5eoPAJ+AuJoKBP2TcKzkpb9qcLFvgDeVXRrkt41g==" saltValue="4/IXYIsvH8ng0D0q1FGQXA==" spinCount="100000" sheet="1" insertRows="0" selectLockedCells="1"/>
  <dataConsolidate/>
  <mergeCells count="17">
    <mergeCell ref="C45:P45"/>
    <mergeCell ref="J7:J8"/>
    <mergeCell ref="K7:K8"/>
    <mergeCell ref="L7:L8"/>
    <mergeCell ref="M7:M8"/>
    <mergeCell ref="N7:N8"/>
    <mergeCell ref="O7:P7"/>
    <mergeCell ref="C3:P3"/>
    <mergeCell ref="C4:P4"/>
    <mergeCell ref="C5:P6"/>
    <mergeCell ref="C7:C8"/>
    <mergeCell ref="D7:D8"/>
    <mergeCell ref="E7:E8"/>
    <mergeCell ref="F7:F8"/>
    <mergeCell ref="G7:G8"/>
    <mergeCell ref="H7:H8"/>
    <mergeCell ref="I7:I8"/>
  </mergeCells>
  <conditionalFormatting sqref="O47:O80">
    <cfRule type="cellIs" dxfId="29" priority="23" operator="equal">
      <formula>"N"</formula>
    </cfRule>
    <cfRule type="cellIs" dxfId="28" priority="24" operator="equal">
      <formula>"Y"</formula>
    </cfRule>
  </conditionalFormatting>
  <conditionalFormatting sqref="D9:N10 D16:N43">
    <cfRule type="expression" dxfId="27" priority="13">
      <formula>$C$9="&lt;Select YES or NO&gt;"</formula>
    </cfRule>
    <cfRule type="expression" dxfId="26" priority="20">
      <formula>$C9=""</formula>
    </cfRule>
    <cfRule type="expression" dxfId="25" priority="21">
      <formula>AND(NOT($C9="&lt;Select YES or NO&gt;"),D9="")</formula>
    </cfRule>
    <cfRule type="expression" dxfId="24" priority="22">
      <formula>AND(NOT($C9=""),D9="")</formula>
    </cfRule>
  </conditionalFormatting>
  <conditionalFormatting sqref="K9:K10 N9:N10 G9:G10 G16:G43 N16:N43 K16:K43">
    <cfRule type="expression" dxfId="23" priority="17">
      <formula>AND($C9="Transferred",G9="&lt;Select One&gt;")</formula>
    </cfRule>
    <cfRule type="expression" dxfId="22" priority="18">
      <formula>AND($C9="No",G9="&lt;Select One&gt;")</formula>
    </cfRule>
    <cfRule type="expression" dxfId="21" priority="19">
      <formula>AND($C9="Yes",G9="&lt;Select One&gt;")</formula>
    </cfRule>
  </conditionalFormatting>
  <conditionalFormatting sqref="J9:J10 J16:J43">
    <cfRule type="expression" dxfId="20" priority="14">
      <formula>AND($C9="No",J9="&lt;Select Drive System&gt;")</formula>
    </cfRule>
    <cfRule type="expression" dxfId="19" priority="15">
      <formula>AND($C9="Yes",J9="&lt;Select Drive System&gt;")</formula>
    </cfRule>
    <cfRule type="expression" dxfId="18" priority="16">
      <formula>AND($C9="Transferred",J9="&lt;Select Drive System&gt;")</formula>
    </cfRule>
  </conditionalFormatting>
  <conditionalFormatting sqref="D11:N15">
    <cfRule type="expression" dxfId="17" priority="1">
      <formula>$C$9="&lt;Select YES or NO&gt;"</formula>
    </cfRule>
    <cfRule type="expression" dxfId="16" priority="8">
      <formula>$C11=""</formula>
    </cfRule>
    <cfRule type="expression" dxfId="15" priority="9">
      <formula>AND(NOT($C11="&lt;Select YES or NO&gt;"),D11="")</formula>
    </cfRule>
    <cfRule type="expression" dxfId="14" priority="10">
      <formula>AND(NOT($C11=""),D11="")</formula>
    </cfRule>
  </conditionalFormatting>
  <conditionalFormatting sqref="G11:G15 N11:N15 K11:K15">
    <cfRule type="expression" dxfId="13" priority="5">
      <formula>AND($C11="Transferred",G11="&lt;Select One&gt;")</formula>
    </cfRule>
    <cfRule type="expression" dxfId="12" priority="6">
      <formula>AND($C11="No",G11="&lt;Select One&gt;")</formula>
    </cfRule>
    <cfRule type="expression" dxfId="11" priority="7">
      <formula>AND($C11="Yes",G11="&lt;Select One&gt;")</formula>
    </cfRule>
  </conditionalFormatting>
  <conditionalFormatting sqref="J11:J15">
    <cfRule type="expression" dxfId="10" priority="2">
      <formula>AND($C11="No",J11="&lt;Select Drive System&gt;")</formula>
    </cfRule>
    <cfRule type="expression" dxfId="9" priority="3">
      <formula>AND($C11="Yes",J11="&lt;Select Drive System&gt;")</formula>
    </cfRule>
    <cfRule type="expression" dxfId="8" priority="4">
      <formula>AND($C11="Transferred",J11="&lt;Select Drive System&gt;")</formula>
    </cfRule>
  </conditionalFormatting>
  <dataValidations count="5">
    <dataValidation type="list" allowBlank="1" showInputMessage="1" showErrorMessage="1" sqref="J47:J80 J9:J43" xr:uid="{00000000-0002-0000-1000-000000000000}">
      <formula1>ListDriveSystem</formula1>
    </dataValidation>
    <dataValidation allowBlank="1" showInputMessage="1" showErrorMessage="1" promptTitle="Keep blank" prompt="Do not enter any information here" sqref="C46:C80 P77:P80 L46:L80 Q46:Q80" xr:uid="{00000000-0002-0000-1000-000001000000}"/>
    <dataValidation type="list" allowBlank="1" showInputMessage="1" showErrorMessage="1" sqref="I83:I1048576 I44 K46:K80 J81:J82 K9:K43" xr:uid="{00000000-0002-0000-1000-000002000000}">
      <formula1>ListOver8500</formula1>
    </dataValidation>
    <dataValidation type="list" allowBlank="1" showInputMessage="1" showErrorMessage="1" sqref="J44 K81:K82 J83:J163" xr:uid="{00000000-0002-0000-1000-000003000000}">
      <formula1>ListExempt</formula1>
    </dataValidation>
    <dataValidation type="list" allowBlank="1" showInputMessage="1" showErrorMessage="1" sqref="O86:O92 O44 P81:P82" xr:uid="{00000000-0002-0000-1000-000004000000}">
      <formula1>ListYN</formula1>
    </dataValidation>
  </dataValidations>
  <hyperlinks>
    <hyperlink ref="L7" r:id="rId1" display="COMBINED MPG Rating (from fueleconomy.gov)" xr:uid="{00000000-0004-0000-1000-000000000000}"/>
  </hyperlinks>
  <pageMargins left="0.7" right="0.7" top="0.75" bottom="0.75" header="0.3" footer="0.3"/>
  <pageSetup orientation="landscape" r:id="rId2"/>
  <extLst>
    <ext xmlns:x14="http://schemas.microsoft.com/office/spreadsheetml/2009/9/main" uri="{78C0D931-6437-407d-A8EE-F0AAD7539E65}">
      <x14:conditionalFormattings>
        <x14:conditionalFormatting xmlns:xm="http://schemas.microsoft.com/office/excel/2006/main">
          <x14:cfRule type="containsText" priority="25" operator="containsText" id="{6CCAC8FE-AC3A-4BC5-90AB-60F47FC8E5BE}">
            <xm:f>NOT(ISERROR(SEARCH("No",P9)))</xm:f>
            <xm:f>"No"</xm:f>
            <x14:dxf>
              <font>
                <color rgb="FF9C0006"/>
              </font>
              <fill>
                <patternFill>
                  <bgColor rgb="FFFFC7CE"/>
                </patternFill>
              </fill>
            </x14:dxf>
          </x14:cfRule>
          <x14:cfRule type="containsText" priority="26" operator="containsText" id="{6EBBDCD5-75C9-430B-A778-9C16C3E03866}">
            <xm:f>NOT(ISERROR(SEARCH("Yes",P9)))</xm:f>
            <xm:f>"Yes"</xm:f>
            <x14:dxf>
              <font>
                <color rgb="FF006100"/>
              </font>
              <fill>
                <patternFill>
                  <bgColor rgb="FFC6EFCE"/>
                </patternFill>
              </fill>
            </x14:dxf>
          </x14:cfRule>
          <xm:sqref>P9:P10 P16:P43</xm:sqref>
        </x14:conditionalFormatting>
        <x14:conditionalFormatting xmlns:xm="http://schemas.microsoft.com/office/excel/2006/main">
          <x14:cfRule type="containsText" priority="11" operator="containsText" id="{21E54B72-4E36-4BDF-A510-DCC62EC909CE}">
            <xm:f>NOT(ISERROR(SEARCH("No",P11)))</xm:f>
            <xm:f>"No"</xm:f>
            <x14:dxf>
              <font>
                <color rgb="FF9C0006"/>
              </font>
              <fill>
                <patternFill>
                  <bgColor rgb="FFFFC7CE"/>
                </patternFill>
              </fill>
            </x14:dxf>
          </x14:cfRule>
          <x14:cfRule type="containsText" priority="12" operator="containsText" id="{BEC9382A-4464-425F-85A6-A132108376C1}">
            <xm:f>NOT(ISERROR(SEARCH("Yes",P11)))</xm:f>
            <xm:f>"Yes"</xm:f>
            <x14:dxf>
              <font>
                <color rgb="FF006100"/>
              </font>
              <fill>
                <patternFill>
                  <bgColor rgb="FFC6EFCE"/>
                </patternFill>
              </fill>
            </x14:dxf>
          </x14:cfRule>
          <xm:sqref>P11:P15</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1000-000006000000}">
          <x14:formula1>
            <xm:f>'DOER reference'!$V$3:$V$5</xm:f>
          </x14:formula1>
          <xm:sqref>N47:N80 N9:N43</xm:sqref>
        </x14:dataValidation>
        <x14:dataValidation type="list" allowBlank="1" showInputMessage="1" showErrorMessage="1" xr:uid="{00000000-0002-0000-1000-000008000000}">
          <x14:formula1>
            <xm:f>'DOER reference'!$F$2:$F$3</xm:f>
          </x14:formula1>
          <xm:sqref>D47:D80</xm:sqref>
        </x14:dataValidation>
        <x14:dataValidation type="list" allowBlank="1" showInputMessage="1" showErrorMessage="1" xr:uid="{CFEF0E16-A844-47E0-9822-4855A3CC8E1B}">
          <x14:formula1>
            <xm:f>'DOER reference'!$U$3:$U$8</xm:f>
          </x14:formula1>
          <xm:sqref>G47:G80 G9:G43</xm:sqref>
        </x14:dataValidation>
        <x14:dataValidation type="list" allowBlank="1" showInputMessage="1" showErrorMessage="1" xr:uid="{00000000-0002-0000-1000-000005000000}">
          <x14:formula1>
            <xm:f>'DOER reference'!$F$1:$F$4</xm:f>
          </x14:formula1>
          <xm:sqref>C9:C43</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tabColor theme="8" tint="0.59999389629810485"/>
  </sheetPr>
  <dimension ref="A1:S100"/>
  <sheetViews>
    <sheetView topLeftCell="A7" zoomScale="70" zoomScaleNormal="70" workbookViewId="0"/>
  </sheetViews>
  <sheetFormatPr defaultColWidth="0" defaultRowHeight="12.75" x14ac:dyDescent="0.2"/>
  <cols>
    <col min="1" max="1" width="2.28515625" style="661" customWidth="1"/>
    <col min="2" max="2" width="3.28515625" style="661" customWidth="1"/>
    <col min="3" max="3" width="12.28515625" style="661" bestFit="1" customWidth="1"/>
    <col min="4" max="4" width="35.85546875" style="661" bestFit="1" customWidth="1"/>
    <col min="5" max="5" width="19.140625" style="661" customWidth="1"/>
    <col min="6" max="6" width="16.42578125" style="661" customWidth="1"/>
    <col min="7" max="7" width="24.5703125" style="661" bestFit="1" customWidth="1"/>
    <col min="8" max="8" width="14.7109375" style="661" customWidth="1"/>
    <col min="9" max="9" width="13" style="661" bestFit="1" customWidth="1"/>
    <col min="10" max="10" width="18.5703125" style="661" bestFit="1" customWidth="1"/>
    <col min="11" max="11" width="17" style="661" customWidth="1"/>
    <col min="12" max="13" width="28.5703125" style="661" bestFit="1" customWidth="1"/>
    <col min="14" max="14" width="14.140625" style="661" customWidth="1"/>
    <col min="15" max="15" width="14.28515625" style="661" bestFit="1" customWidth="1"/>
    <col min="16" max="16" width="30.85546875" style="661" bestFit="1" customWidth="1"/>
    <col min="17" max="17" width="3.42578125" style="661" customWidth="1"/>
    <col min="18" max="18" width="4.28515625" style="12" customWidth="1"/>
    <col min="19" max="16384" width="0" style="661" hidden="1"/>
  </cols>
  <sheetData>
    <row r="1" spans="1:18" ht="36.6" customHeight="1" x14ac:dyDescent="0.2">
      <c r="A1" s="659"/>
      <c r="B1" s="659"/>
      <c r="C1" s="659"/>
      <c r="D1" s="659"/>
      <c r="E1" s="659"/>
      <c r="F1" s="659"/>
      <c r="G1" s="659"/>
      <c r="H1" s="659"/>
      <c r="I1" s="659"/>
      <c r="J1" s="659"/>
      <c r="K1" s="659"/>
      <c r="L1" s="659"/>
      <c r="M1" s="659"/>
      <c r="N1" s="659"/>
      <c r="O1" s="659"/>
      <c r="P1" s="659"/>
      <c r="Q1" s="659"/>
      <c r="R1" s="660"/>
    </row>
    <row r="2" spans="1:18" ht="36.6" customHeight="1" x14ac:dyDescent="0.2">
      <c r="A2" s="659"/>
      <c r="B2" s="662"/>
      <c r="C2" s="663"/>
      <c r="D2" s="663"/>
      <c r="E2" s="663"/>
      <c r="F2" s="663"/>
      <c r="G2" s="663"/>
      <c r="H2" s="663"/>
      <c r="I2" s="663"/>
      <c r="J2" s="663"/>
      <c r="K2" s="663"/>
      <c r="L2" s="663"/>
      <c r="M2" s="663"/>
      <c r="N2" s="663"/>
      <c r="O2" s="663"/>
      <c r="P2" s="663"/>
      <c r="Q2" s="663"/>
      <c r="R2" s="664"/>
    </row>
    <row r="3" spans="1:18" ht="47.45" customHeight="1" x14ac:dyDescent="0.2">
      <c r="A3" s="659"/>
      <c r="B3" s="665"/>
      <c r="C3" s="1096" t="s">
        <v>385</v>
      </c>
      <c r="D3" s="1097"/>
      <c r="E3" s="1097"/>
      <c r="F3" s="1097"/>
      <c r="G3" s="1097"/>
      <c r="H3" s="1097"/>
      <c r="I3" s="1097"/>
      <c r="J3" s="1097"/>
      <c r="K3" s="1097"/>
      <c r="L3" s="1097"/>
      <c r="M3" s="1097"/>
      <c r="N3" s="1097"/>
      <c r="O3" s="1097"/>
      <c r="P3" s="1098"/>
      <c r="Q3" s="404"/>
      <c r="R3" s="666"/>
    </row>
    <row r="4" spans="1:18" ht="93" customHeight="1" thickBot="1" x14ac:dyDescent="0.25">
      <c r="A4" s="659"/>
      <c r="B4" s="665"/>
      <c r="C4" s="1099" t="s">
        <v>676</v>
      </c>
      <c r="D4" s="1100"/>
      <c r="E4" s="1100"/>
      <c r="F4" s="1100"/>
      <c r="G4" s="1100"/>
      <c r="H4" s="1100"/>
      <c r="I4" s="1100"/>
      <c r="J4" s="1100"/>
      <c r="K4" s="1100"/>
      <c r="L4" s="1100"/>
      <c r="M4" s="1100"/>
      <c r="N4" s="1100"/>
      <c r="O4" s="1100"/>
      <c r="P4" s="1100"/>
      <c r="Q4" s="404"/>
      <c r="R4" s="666"/>
    </row>
    <row r="5" spans="1:18" ht="33.6" customHeight="1" x14ac:dyDescent="0.2">
      <c r="A5" s="659"/>
      <c r="B5" s="665"/>
      <c r="C5" s="1089" t="s">
        <v>386</v>
      </c>
      <c r="D5" s="1090"/>
      <c r="E5" s="1090"/>
      <c r="F5" s="1090"/>
      <c r="G5" s="1090"/>
      <c r="H5" s="1090"/>
      <c r="I5" s="1090"/>
      <c r="J5" s="1090"/>
      <c r="K5" s="1090"/>
      <c r="L5" s="1090"/>
      <c r="M5" s="1090"/>
      <c r="N5" s="1090"/>
      <c r="O5" s="1090"/>
      <c r="P5" s="1091"/>
      <c r="Q5" s="404"/>
      <c r="R5" s="666"/>
    </row>
    <row r="6" spans="1:18" ht="33.6" customHeight="1" x14ac:dyDescent="0.2">
      <c r="A6" s="659"/>
      <c r="B6" s="665"/>
      <c r="C6" s="1092"/>
      <c r="D6" s="1093"/>
      <c r="E6" s="1093"/>
      <c r="F6" s="1093"/>
      <c r="G6" s="1093"/>
      <c r="H6" s="1093"/>
      <c r="I6" s="1093"/>
      <c r="J6" s="1093"/>
      <c r="K6" s="1093"/>
      <c r="L6" s="1093"/>
      <c r="M6" s="1093"/>
      <c r="N6" s="1093"/>
      <c r="O6" s="1093"/>
      <c r="P6" s="1094"/>
      <c r="Q6" s="404"/>
      <c r="R6" s="666"/>
    </row>
    <row r="7" spans="1:18" ht="76.900000000000006" customHeight="1" x14ac:dyDescent="0.25">
      <c r="A7" s="659"/>
      <c r="B7" s="665"/>
      <c r="C7" s="1087" t="s">
        <v>394</v>
      </c>
      <c r="D7" s="1088" t="s">
        <v>663</v>
      </c>
      <c r="E7" s="1088" t="s">
        <v>387</v>
      </c>
      <c r="F7" s="1088" t="s">
        <v>388</v>
      </c>
      <c r="G7" s="1088" t="s">
        <v>664</v>
      </c>
      <c r="H7" s="1088" t="s">
        <v>390</v>
      </c>
      <c r="I7" s="1088" t="s">
        <v>391</v>
      </c>
      <c r="J7" s="1088" t="s">
        <v>665</v>
      </c>
      <c r="K7" s="1088" t="s">
        <v>666</v>
      </c>
      <c r="L7" s="1088" t="s">
        <v>667</v>
      </c>
      <c r="M7" s="1088" t="s">
        <v>674</v>
      </c>
      <c r="N7" s="1095" t="s">
        <v>668</v>
      </c>
      <c r="O7" s="1081" t="s">
        <v>669</v>
      </c>
      <c r="P7" s="1082"/>
      <c r="Q7" s="404"/>
      <c r="R7" s="666"/>
    </row>
    <row r="8" spans="1:18" ht="25.5" x14ac:dyDescent="0.2">
      <c r="A8" s="659"/>
      <c r="B8" s="665"/>
      <c r="C8" s="1087"/>
      <c r="D8" s="1088"/>
      <c r="E8" s="1088"/>
      <c r="F8" s="1088"/>
      <c r="G8" s="1088"/>
      <c r="H8" s="1088"/>
      <c r="I8" s="1088"/>
      <c r="J8" s="1088"/>
      <c r="K8" s="1088"/>
      <c r="L8" s="1088"/>
      <c r="M8" s="1088"/>
      <c r="N8" s="1095"/>
      <c r="O8" s="639" t="s">
        <v>670</v>
      </c>
      <c r="P8" s="639" t="s">
        <v>671</v>
      </c>
      <c r="Q8" s="404"/>
      <c r="R8" s="666"/>
    </row>
    <row r="9" spans="1:18" s="674" customFormat="1" x14ac:dyDescent="0.2">
      <c r="A9" s="667"/>
      <c r="B9" s="668"/>
      <c r="C9" s="669" t="s">
        <v>407</v>
      </c>
      <c r="D9" s="670" t="s">
        <v>408</v>
      </c>
      <c r="E9" s="608" t="s">
        <v>402</v>
      </c>
      <c r="F9" s="608" t="s">
        <v>403</v>
      </c>
      <c r="G9" s="606" t="s">
        <v>456</v>
      </c>
      <c r="H9" s="608">
        <v>2018</v>
      </c>
      <c r="I9" s="611">
        <v>42948</v>
      </c>
      <c r="J9" s="608" t="s">
        <v>404</v>
      </c>
      <c r="K9" s="608" t="s">
        <v>400</v>
      </c>
      <c r="L9" s="609">
        <v>31</v>
      </c>
      <c r="M9" s="671" t="s">
        <v>406</v>
      </c>
      <c r="N9" s="672" t="s">
        <v>400</v>
      </c>
      <c r="O9" s="644" t="str">
        <f>IF(K9="","",IF(K9="&lt;Select One&gt;","",IF(N9="","",IF(K9="Y","Exempt",IF(N9="Y","Exempt","Non-Exempt")))))</f>
        <v>Non-Exempt</v>
      </c>
      <c r="P9" s="658" t="str">
        <f>IF(O9="","",IFERROR(IF(O9="Exempt","N/A, Vehicle is exempt",IF(AND($O9="Non-Exempt",$L9&gt;=VLOOKUP($G9&amp;$J9,'DOER reference'!$W$4:$X$15,2,FALSE)),"Yes","No, please contact your Regional Coordinator")),""))</f>
        <v>Yes</v>
      </c>
      <c r="Q9" s="673"/>
      <c r="R9" s="666"/>
    </row>
    <row r="10" spans="1:18" s="674" customFormat="1" x14ac:dyDescent="0.2">
      <c r="A10" s="667"/>
      <c r="B10" s="668"/>
      <c r="C10" s="669" t="s">
        <v>407</v>
      </c>
      <c r="D10" s="670" t="s">
        <v>677</v>
      </c>
      <c r="E10" s="608" t="s">
        <v>402</v>
      </c>
      <c r="F10" s="608" t="s">
        <v>409</v>
      </c>
      <c r="G10" s="606" t="s">
        <v>462</v>
      </c>
      <c r="H10" s="608">
        <v>2017</v>
      </c>
      <c r="I10" s="611">
        <v>43191</v>
      </c>
      <c r="J10" s="608" t="s">
        <v>410</v>
      </c>
      <c r="K10" s="608" t="s">
        <v>400</v>
      </c>
      <c r="L10" s="609">
        <v>19</v>
      </c>
      <c r="M10" s="671" t="s">
        <v>412</v>
      </c>
      <c r="N10" s="672" t="s">
        <v>401</v>
      </c>
      <c r="O10" s="644" t="str">
        <f>IF(K10="","",IF(K10="&lt;Select One&gt;","",IF(N10="","",IF(K10="Y","Exempt",IF(N10="Y","Exempt","Non-Exempt")))))</f>
        <v>Exempt</v>
      </c>
      <c r="P10" s="658" t="str">
        <f>IF(O10="","",IFERROR(IF(O10="Exempt","N/A, Vehicle is exempt",IF(AND($O10="Non-Exempt",$L10&gt;=VLOOKUP($G10&amp;$J10,'DOER reference'!$W$4:$X$15,2,FALSE)),"Yes","No, please contact your Regional Coordinator")),""))</f>
        <v>N/A, Vehicle is exempt</v>
      </c>
      <c r="Q10" s="673"/>
      <c r="R10" s="666"/>
    </row>
    <row r="11" spans="1:18" s="674" customFormat="1" x14ac:dyDescent="0.2">
      <c r="A11" s="667"/>
      <c r="B11" s="668"/>
      <c r="C11" s="669" t="s">
        <v>407</v>
      </c>
      <c r="D11" s="670" t="s">
        <v>413</v>
      </c>
      <c r="E11" s="608" t="s">
        <v>402</v>
      </c>
      <c r="F11" s="608" t="s">
        <v>409</v>
      </c>
      <c r="G11" s="606" t="s">
        <v>462</v>
      </c>
      <c r="H11" s="608">
        <v>2018</v>
      </c>
      <c r="I11" s="611">
        <v>43192</v>
      </c>
      <c r="J11" s="608" t="s">
        <v>410</v>
      </c>
      <c r="K11" s="608" t="s">
        <v>400</v>
      </c>
      <c r="L11" s="609">
        <v>19</v>
      </c>
      <c r="M11" s="671" t="s">
        <v>412</v>
      </c>
      <c r="N11" s="672" t="s">
        <v>401</v>
      </c>
      <c r="O11" s="644" t="str">
        <f t="shared" ref="O11:O38" si="0">IF(K11="","",IF(K11="&lt;Select One&gt;","",IF(N11="","",IF(K11="Y","Exempt",IF(N11="Y","Exempt","Non-Exempt")))))</f>
        <v>Exempt</v>
      </c>
      <c r="P11" s="658" t="str">
        <f>IF(O11="","",IFERROR(IF(O11="Exempt","N/A, Vehicle is exempt",IF(AND($O11="Non-Exempt",$L11&gt;=VLOOKUP($G11&amp;$J11,'DOER reference'!$W$4:$X$15,2,FALSE)),"Yes","No, please contact your Regional Coordinator")),""))</f>
        <v>N/A, Vehicle is exempt</v>
      </c>
      <c r="Q11" s="673"/>
      <c r="R11" s="666"/>
    </row>
    <row r="12" spans="1:18" s="674" customFormat="1" x14ac:dyDescent="0.2">
      <c r="A12" s="667"/>
      <c r="B12" s="668"/>
      <c r="C12" s="669" t="s">
        <v>407</v>
      </c>
      <c r="D12" s="670" t="s">
        <v>417</v>
      </c>
      <c r="E12" s="608" t="s">
        <v>402</v>
      </c>
      <c r="F12" s="608" t="s">
        <v>414</v>
      </c>
      <c r="G12" s="606" t="s">
        <v>460</v>
      </c>
      <c r="H12" s="608">
        <v>2018</v>
      </c>
      <c r="I12" s="611">
        <v>43191</v>
      </c>
      <c r="J12" s="608" t="s">
        <v>415</v>
      </c>
      <c r="K12" s="608" t="s">
        <v>401</v>
      </c>
      <c r="L12" s="609" t="s">
        <v>298</v>
      </c>
      <c r="M12" s="671" t="s">
        <v>416</v>
      </c>
      <c r="N12" s="672" t="s">
        <v>400</v>
      </c>
      <c r="O12" s="644" t="str">
        <f t="shared" si="0"/>
        <v>Exempt</v>
      </c>
      <c r="P12" s="658" t="str">
        <f>IF(O12="","",IFERROR(IF(O12="Exempt","N/A, Vehicle is exempt",IF(AND($O12="Non-Exempt",$L12&gt;=VLOOKUP($G12&amp;$J12,'DOER reference'!$W$4:$X$15,2,FALSE)),"Yes","No, please contact your Regional Coordinator")),""))</f>
        <v>N/A, Vehicle is exempt</v>
      </c>
      <c r="Q12" s="673"/>
      <c r="R12" s="666"/>
    </row>
    <row r="13" spans="1:18" s="674" customFormat="1" x14ac:dyDescent="0.2">
      <c r="A13" s="667"/>
      <c r="B13" s="668"/>
      <c r="C13" s="669" t="s">
        <v>421</v>
      </c>
      <c r="D13" s="670" t="s">
        <v>673</v>
      </c>
      <c r="E13" s="608" t="s">
        <v>418</v>
      </c>
      <c r="F13" s="608" t="s">
        <v>419</v>
      </c>
      <c r="G13" s="606" t="s">
        <v>460</v>
      </c>
      <c r="H13" s="608">
        <v>2014</v>
      </c>
      <c r="I13" s="611">
        <v>41821</v>
      </c>
      <c r="J13" s="608" t="s">
        <v>415</v>
      </c>
      <c r="K13" s="608" t="s">
        <v>400</v>
      </c>
      <c r="L13" s="609">
        <v>18</v>
      </c>
      <c r="M13" s="671" t="s">
        <v>420</v>
      </c>
      <c r="N13" s="672" t="s">
        <v>400</v>
      </c>
      <c r="O13" s="644" t="str">
        <f t="shared" si="0"/>
        <v>Non-Exempt</v>
      </c>
      <c r="P13" s="658" t="str">
        <f>IF(O13="","",IFERROR(IF(O13="Exempt","N/A, Vehicle is exempt",IF(AND($O13="Non-Exempt",$L13&gt;=VLOOKUP($G13&amp;$J13,'DOER reference'!$W$4:$X$15,2,FALSE)),"Yes","No, please contact your Regional Coordinator")),""))</f>
        <v>Yes</v>
      </c>
      <c r="Q13" s="673"/>
      <c r="R13" s="666"/>
    </row>
    <row r="14" spans="1:18" s="674" customFormat="1" x14ac:dyDescent="0.2">
      <c r="A14" s="667"/>
      <c r="B14" s="668"/>
      <c r="C14" s="669" t="s">
        <v>407</v>
      </c>
      <c r="D14" s="670" t="s">
        <v>424</v>
      </c>
      <c r="E14" s="608" t="s">
        <v>418</v>
      </c>
      <c r="F14" s="608" t="s">
        <v>422</v>
      </c>
      <c r="G14" s="606" t="s">
        <v>462</v>
      </c>
      <c r="H14" s="608">
        <v>2018</v>
      </c>
      <c r="I14" s="611">
        <v>43282</v>
      </c>
      <c r="J14" s="608" t="s">
        <v>410</v>
      </c>
      <c r="K14" s="608" t="s">
        <v>400</v>
      </c>
      <c r="L14" s="609">
        <v>20</v>
      </c>
      <c r="M14" s="671" t="s">
        <v>423</v>
      </c>
      <c r="N14" s="672" t="s">
        <v>400</v>
      </c>
      <c r="O14" s="644" t="str">
        <f t="shared" si="0"/>
        <v>Non-Exempt</v>
      </c>
      <c r="P14" s="658" t="str">
        <f>IF(O14="","",IFERROR(IF(O14="Exempt","N/A, Vehicle is exempt",IF(AND($O14="Non-Exempt",$L14&gt;=VLOOKUP($G14&amp;$J14,'DOER reference'!$W$4:$X$15,2,FALSE)),"Yes","No, please contact your Regional Coordinator")),""))</f>
        <v>Yes</v>
      </c>
      <c r="Q14" s="673"/>
      <c r="R14" s="666"/>
    </row>
    <row r="15" spans="1:18" x14ac:dyDescent="0.2">
      <c r="A15" s="659"/>
      <c r="B15" s="665"/>
      <c r="C15" s="669"/>
      <c r="D15" s="670"/>
      <c r="E15" s="608"/>
      <c r="F15" s="608"/>
      <c r="G15" s="606"/>
      <c r="H15" s="608"/>
      <c r="I15" s="611"/>
      <c r="J15" s="608"/>
      <c r="K15" s="608"/>
      <c r="L15" s="609"/>
      <c r="M15" s="671"/>
      <c r="N15" s="672"/>
      <c r="O15" s="644" t="str">
        <f t="shared" si="0"/>
        <v/>
      </c>
      <c r="P15" s="658" t="str">
        <f>IF(O15="","",IFERROR(IF(O15="Exempt","N/A, Vehicle is exempt",IF(AND($O15="Non-Exempt",$L15&gt;=VLOOKUP($G15&amp;$J15,'DOER reference'!$W$4:$X$15,2,FALSE)),"Yes","No, please contact your Regional Coordinator")),""))</f>
        <v/>
      </c>
      <c r="Q15" s="404"/>
      <c r="R15" s="666"/>
    </row>
    <row r="16" spans="1:18" x14ac:dyDescent="0.2">
      <c r="A16" s="659"/>
      <c r="B16" s="665"/>
      <c r="C16" s="669"/>
      <c r="D16" s="670"/>
      <c r="E16" s="608"/>
      <c r="F16" s="608"/>
      <c r="G16" s="606"/>
      <c r="H16" s="608"/>
      <c r="I16" s="611"/>
      <c r="J16" s="608"/>
      <c r="K16" s="608"/>
      <c r="L16" s="609"/>
      <c r="M16" s="671"/>
      <c r="N16" s="672"/>
      <c r="O16" s="644" t="str">
        <f t="shared" si="0"/>
        <v/>
      </c>
      <c r="P16" s="658" t="str">
        <f>IF(O16="","",IFERROR(IF(O16="Exempt","N/A, Vehicle is exempt",IF(AND($O16="Non-Exempt",$L16&gt;=VLOOKUP($G16&amp;$J16,'DOER reference'!$W$4:$X$15,2,FALSE)),"Yes","No, please contact your Regional Coordinator")),""))</f>
        <v/>
      </c>
      <c r="Q16" s="404"/>
      <c r="R16" s="666"/>
    </row>
    <row r="17" spans="1:18" x14ac:dyDescent="0.2">
      <c r="A17" s="659"/>
      <c r="B17" s="665"/>
      <c r="C17" s="669"/>
      <c r="D17" s="670"/>
      <c r="E17" s="608"/>
      <c r="F17" s="608"/>
      <c r="G17" s="606"/>
      <c r="H17" s="608"/>
      <c r="I17" s="611"/>
      <c r="J17" s="608"/>
      <c r="K17" s="608"/>
      <c r="L17" s="609"/>
      <c r="M17" s="671"/>
      <c r="N17" s="672"/>
      <c r="O17" s="644" t="str">
        <f t="shared" si="0"/>
        <v/>
      </c>
      <c r="P17" s="658" t="str">
        <f>IF(O17="","",IFERROR(IF(O17="Exempt","N/A, Vehicle is exempt",IF(AND($O17="Non-Exempt",$L17&gt;=VLOOKUP($G17&amp;$J17,'DOER reference'!$W$4:$X$15,2,FALSE)),"Yes","No, please contact your Regional Coordinator")),""))</f>
        <v/>
      </c>
      <c r="Q17" s="404"/>
      <c r="R17" s="666"/>
    </row>
    <row r="18" spans="1:18" x14ac:dyDescent="0.2">
      <c r="A18" s="659"/>
      <c r="B18" s="665"/>
      <c r="C18" s="669"/>
      <c r="D18" s="670"/>
      <c r="E18" s="608"/>
      <c r="F18" s="608"/>
      <c r="G18" s="606"/>
      <c r="H18" s="608"/>
      <c r="I18" s="611"/>
      <c r="J18" s="608"/>
      <c r="K18" s="608"/>
      <c r="L18" s="609"/>
      <c r="M18" s="671"/>
      <c r="N18" s="672"/>
      <c r="O18" s="644" t="str">
        <f t="shared" si="0"/>
        <v/>
      </c>
      <c r="P18" s="658" t="str">
        <f>IF(O18="","",IFERROR(IF(O18="Exempt","N/A, Vehicle is exempt",IF(AND($O18="Non-Exempt",$L18&gt;=VLOOKUP($G18&amp;$J18,'DOER reference'!$W$4:$X$15,2,FALSE)),"Yes","No, please contact your Regional Coordinator")),""))</f>
        <v/>
      </c>
      <c r="Q18" s="404"/>
      <c r="R18" s="666"/>
    </row>
    <row r="19" spans="1:18" x14ac:dyDescent="0.2">
      <c r="A19" s="659"/>
      <c r="B19" s="665"/>
      <c r="C19" s="669"/>
      <c r="D19" s="670"/>
      <c r="E19" s="608"/>
      <c r="F19" s="608"/>
      <c r="G19" s="606"/>
      <c r="H19" s="608"/>
      <c r="I19" s="611"/>
      <c r="J19" s="608"/>
      <c r="K19" s="608"/>
      <c r="L19" s="609"/>
      <c r="M19" s="671"/>
      <c r="N19" s="672"/>
      <c r="O19" s="644" t="str">
        <f t="shared" si="0"/>
        <v/>
      </c>
      <c r="P19" s="658" t="str">
        <f>IF(O19="","",IFERROR(IF(O19="Exempt","N/A, Vehicle is exempt",IF(AND($O19="Non-Exempt",$L19&gt;=VLOOKUP($G19&amp;$J19,'DOER reference'!$W$4:$X$15,2,FALSE)),"Yes","No, please contact your Regional Coordinator")),""))</f>
        <v/>
      </c>
      <c r="Q19" s="404"/>
      <c r="R19" s="666"/>
    </row>
    <row r="20" spans="1:18" x14ac:dyDescent="0.2">
      <c r="A20" s="659"/>
      <c r="B20" s="665"/>
      <c r="C20" s="669"/>
      <c r="D20" s="670"/>
      <c r="E20" s="608"/>
      <c r="F20" s="608"/>
      <c r="G20" s="606"/>
      <c r="H20" s="608"/>
      <c r="I20" s="611"/>
      <c r="J20" s="608"/>
      <c r="K20" s="608"/>
      <c r="L20" s="609"/>
      <c r="M20" s="671"/>
      <c r="N20" s="672"/>
      <c r="O20" s="644" t="str">
        <f t="shared" si="0"/>
        <v/>
      </c>
      <c r="P20" s="658" t="str">
        <f>IF(O20="","",IFERROR(IF(O20="Exempt","N/A, Vehicle is exempt",IF(AND($O20="Non-Exempt",$L20&gt;=VLOOKUP($G20&amp;$J20,'DOER reference'!$W$4:$X$15,2,FALSE)),"Yes","No, please contact your Regional Coordinator")),""))</f>
        <v/>
      </c>
      <c r="Q20" s="404"/>
      <c r="R20" s="666"/>
    </row>
    <row r="21" spans="1:18" x14ac:dyDescent="0.2">
      <c r="A21" s="659"/>
      <c r="B21" s="665"/>
      <c r="C21" s="669"/>
      <c r="D21" s="670"/>
      <c r="E21" s="608"/>
      <c r="F21" s="608"/>
      <c r="G21" s="606"/>
      <c r="H21" s="608"/>
      <c r="I21" s="611"/>
      <c r="J21" s="608"/>
      <c r="K21" s="608"/>
      <c r="L21" s="609"/>
      <c r="M21" s="671"/>
      <c r="N21" s="672"/>
      <c r="O21" s="644" t="str">
        <f t="shared" si="0"/>
        <v/>
      </c>
      <c r="P21" s="658" t="str">
        <f>IF(O21="","",IFERROR(IF(O21="Exempt","N/A, Vehicle is exempt",IF(AND($O21="Non-Exempt",$L21&gt;=VLOOKUP($G21&amp;$J21,'DOER reference'!$W$4:$X$15,2,FALSE)),"Yes","No, please contact your Regional Coordinator")),""))</f>
        <v/>
      </c>
      <c r="Q21" s="404"/>
      <c r="R21" s="666"/>
    </row>
    <row r="22" spans="1:18" x14ac:dyDescent="0.2">
      <c r="A22" s="659"/>
      <c r="B22" s="665"/>
      <c r="C22" s="669"/>
      <c r="D22" s="670"/>
      <c r="E22" s="608"/>
      <c r="F22" s="608"/>
      <c r="G22" s="606"/>
      <c r="H22" s="608"/>
      <c r="I22" s="611"/>
      <c r="J22" s="608"/>
      <c r="K22" s="608"/>
      <c r="L22" s="609"/>
      <c r="M22" s="671"/>
      <c r="N22" s="672"/>
      <c r="O22" s="644" t="str">
        <f t="shared" si="0"/>
        <v/>
      </c>
      <c r="P22" s="658" t="str">
        <f>IF(O22="","",IFERROR(IF(O22="Exempt","N/A, Vehicle is exempt",IF(AND($O22="Non-Exempt",$L22&gt;=VLOOKUP($G22&amp;$J22,'DOER reference'!$W$4:$X$15,2,FALSE)),"Yes","No, please contact your Regional Coordinator")),""))</f>
        <v/>
      </c>
      <c r="Q22" s="404"/>
      <c r="R22" s="666"/>
    </row>
    <row r="23" spans="1:18" x14ac:dyDescent="0.2">
      <c r="A23" s="659"/>
      <c r="B23" s="665"/>
      <c r="C23" s="669"/>
      <c r="D23" s="670"/>
      <c r="E23" s="608"/>
      <c r="F23" s="608"/>
      <c r="G23" s="606"/>
      <c r="H23" s="608"/>
      <c r="I23" s="611"/>
      <c r="J23" s="608"/>
      <c r="K23" s="608"/>
      <c r="L23" s="609"/>
      <c r="M23" s="671"/>
      <c r="N23" s="672"/>
      <c r="O23" s="644" t="str">
        <f t="shared" si="0"/>
        <v/>
      </c>
      <c r="P23" s="658" t="str">
        <f>IF(O23="","",IFERROR(IF(O23="Exempt","N/A, Vehicle is exempt",IF(AND($O23="Non-Exempt",$L23&gt;=VLOOKUP($G23&amp;$J23,'DOER reference'!$W$4:$X$15,2,FALSE)),"Yes","No, please contact your Regional Coordinator")),""))</f>
        <v/>
      </c>
      <c r="Q23" s="404"/>
      <c r="R23" s="666"/>
    </row>
    <row r="24" spans="1:18" x14ac:dyDescent="0.2">
      <c r="A24" s="659"/>
      <c r="B24" s="665"/>
      <c r="C24" s="669"/>
      <c r="D24" s="670"/>
      <c r="E24" s="608"/>
      <c r="F24" s="608"/>
      <c r="G24" s="606"/>
      <c r="H24" s="608"/>
      <c r="I24" s="611"/>
      <c r="J24" s="608"/>
      <c r="K24" s="608"/>
      <c r="L24" s="609"/>
      <c r="M24" s="671"/>
      <c r="N24" s="672"/>
      <c r="O24" s="644" t="str">
        <f t="shared" si="0"/>
        <v/>
      </c>
      <c r="P24" s="658" t="str">
        <f>IF(O24="","",IFERROR(IF(O24="Exempt","N/A, Vehicle is exempt",IF(AND($O24="Non-Exempt",$L24&gt;=VLOOKUP($G24&amp;$J24,'DOER reference'!$W$4:$X$15,2,FALSE)),"Yes","No, please contact your Regional Coordinator")),""))</f>
        <v/>
      </c>
      <c r="Q24" s="404"/>
      <c r="R24" s="666"/>
    </row>
    <row r="25" spans="1:18" x14ac:dyDescent="0.2">
      <c r="A25" s="659"/>
      <c r="B25" s="665"/>
      <c r="C25" s="669"/>
      <c r="D25" s="670"/>
      <c r="E25" s="608"/>
      <c r="F25" s="608"/>
      <c r="G25" s="606"/>
      <c r="H25" s="608"/>
      <c r="I25" s="611"/>
      <c r="J25" s="608"/>
      <c r="K25" s="608"/>
      <c r="L25" s="609"/>
      <c r="M25" s="671"/>
      <c r="N25" s="672"/>
      <c r="O25" s="644" t="str">
        <f t="shared" si="0"/>
        <v/>
      </c>
      <c r="P25" s="658" t="str">
        <f>IF(O25="","",IFERROR(IF(O25="Exempt","N/A, Vehicle is exempt",IF(AND($O25="Non-Exempt",$L25&gt;=VLOOKUP($G25&amp;$J25,'DOER reference'!$W$4:$X$15,2,FALSE)),"Yes","No, please contact your Regional Coordinator")),""))</f>
        <v/>
      </c>
      <c r="Q25" s="404"/>
      <c r="R25" s="666"/>
    </row>
    <row r="26" spans="1:18" x14ac:dyDescent="0.2">
      <c r="A26" s="659"/>
      <c r="B26" s="665"/>
      <c r="C26" s="669"/>
      <c r="D26" s="670"/>
      <c r="E26" s="608"/>
      <c r="F26" s="608"/>
      <c r="G26" s="606"/>
      <c r="H26" s="608"/>
      <c r="I26" s="611"/>
      <c r="J26" s="608"/>
      <c r="K26" s="608"/>
      <c r="L26" s="609"/>
      <c r="M26" s="671"/>
      <c r="N26" s="672"/>
      <c r="O26" s="644" t="str">
        <f t="shared" si="0"/>
        <v/>
      </c>
      <c r="P26" s="658" t="str">
        <f>IF(O26="","",IFERROR(IF(O26="Exempt","N/A, Vehicle is exempt",IF(AND($O26="Non-Exempt",$L26&gt;=VLOOKUP($G26&amp;$J26,'DOER reference'!$W$4:$X$15,2,FALSE)),"Yes","No, please contact your Regional Coordinator")),""))</f>
        <v/>
      </c>
      <c r="Q26" s="404"/>
      <c r="R26" s="666"/>
    </row>
    <row r="27" spans="1:18" x14ac:dyDescent="0.2">
      <c r="A27" s="659"/>
      <c r="B27" s="665"/>
      <c r="C27" s="669"/>
      <c r="D27" s="670"/>
      <c r="E27" s="608"/>
      <c r="F27" s="608"/>
      <c r="G27" s="606"/>
      <c r="H27" s="608"/>
      <c r="I27" s="611"/>
      <c r="J27" s="608"/>
      <c r="K27" s="608"/>
      <c r="L27" s="609"/>
      <c r="M27" s="671"/>
      <c r="N27" s="672"/>
      <c r="O27" s="644" t="str">
        <f t="shared" si="0"/>
        <v/>
      </c>
      <c r="P27" s="658" t="str">
        <f>IF(O27="","",IFERROR(IF(O27="Exempt","N/A, Vehicle is exempt",IF(AND($O27="Non-Exempt",$L27&gt;=VLOOKUP($G27&amp;$J27,'DOER reference'!$W$4:$X$15,2,FALSE)),"Yes","No, please contact your Regional Coordinator")),""))</f>
        <v/>
      </c>
      <c r="Q27" s="404"/>
      <c r="R27" s="666"/>
    </row>
    <row r="28" spans="1:18" x14ac:dyDescent="0.2">
      <c r="A28" s="659"/>
      <c r="B28" s="665"/>
      <c r="C28" s="669"/>
      <c r="D28" s="670"/>
      <c r="E28" s="608"/>
      <c r="F28" s="608"/>
      <c r="G28" s="606"/>
      <c r="H28" s="608"/>
      <c r="I28" s="611"/>
      <c r="J28" s="608"/>
      <c r="K28" s="608"/>
      <c r="L28" s="609"/>
      <c r="M28" s="671"/>
      <c r="N28" s="672"/>
      <c r="O28" s="644" t="str">
        <f t="shared" si="0"/>
        <v/>
      </c>
      <c r="P28" s="658" t="str">
        <f>IF(O28="","",IFERROR(IF(O28="Exempt","N/A, Vehicle is exempt",IF(AND($O28="Non-Exempt",$L28&gt;=VLOOKUP($G28&amp;$J28,'DOER reference'!$W$4:$X$15,2,FALSE)),"Yes","No, please contact your Regional Coordinator")),""))</f>
        <v/>
      </c>
      <c r="Q28" s="404"/>
      <c r="R28" s="666"/>
    </row>
    <row r="29" spans="1:18" x14ac:dyDescent="0.2">
      <c r="A29" s="659"/>
      <c r="B29" s="665"/>
      <c r="C29" s="669"/>
      <c r="D29" s="670"/>
      <c r="E29" s="608"/>
      <c r="F29" s="608"/>
      <c r="G29" s="606"/>
      <c r="H29" s="608"/>
      <c r="I29" s="611"/>
      <c r="J29" s="608"/>
      <c r="K29" s="608"/>
      <c r="L29" s="609"/>
      <c r="M29" s="671"/>
      <c r="N29" s="672"/>
      <c r="O29" s="644" t="str">
        <f t="shared" si="0"/>
        <v/>
      </c>
      <c r="P29" s="658" t="str">
        <f>IF(O29="","",IFERROR(IF(O29="Exempt","N/A, Vehicle is exempt",IF(AND($O29="Non-Exempt",$L29&gt;=VLOOKUP($G29&amp;$J29,'DOER reference'!$W$4:$X$15,2,FALSE)),"Yes","No, please contact your Regional Coordinator")),""))</f>
        <v/>
      </c>
      <c r="Q29" s="404"/>
      <c r="R29" s="666"/>
    </row>
    <row r="30" spans="1:18" x14ac:dyDescent="0.2">
      <c r="A30" s="659"/>
      <c r="B30" s="665"/>
      <c r="C30" s="669"/>
      <c r="D30" s="670"/>
      <c r="E30" s="608"/>
      <c r="F30" s="608"/>
      <c r="G30" s="606"/>
      <c r="H30" s="608"/>
      <c r="I30" s="611"/>
      <c r="J30" s="608"/>
      <c r="K30" s="608"/>
      <c r="L30" s="609"/>
      <c r="M30" s="671"/>
      <c r="N30" s="672"/>
      <c r="O30" s="644" t="str">
        <f t="shared" si="0"/>
        <v/>
      </c>
      <c r="P30" s="658" t="str">
        <f>IF(O30="","",IFERROR(IF(O30="Exempt","N/A, Vehicle is exempt",IF(AND($O30="Non-Exempt",$L30&gt;=VLOOKUP($G30&amp;$J30,'DOER reference'!$W$4:$X$15,2,FALSE)),"Yes","No, please contact your Regional Coordinator")),""))</f>
        <v/>
      </c>
      <c r="Q30" s="404"/>
      <c r="R30" s="666"/>
    </row>
    <row r="31" spans="1:18" x14ac:dyDescent="0.2">
      <c r="A31" s="659"/>
      <c r="B31" s="665"/>
      <c r="C31" s="669"/>
      <c r="D31" s="670"/>
      <c r="E31" s="608"/>
      <c r="F31" s="608"/>
      <c r="G31" s="606"/>
      <c r="H31" s="608"/>
      <c r="I31" s="611"/>
      <c r="J31" s="608"/>
      <c r="K31" s="608"/>
      <c r="L31" s="609"/>
      <c r="M31" s="671"/>
      <c r="N31" s="672"/>
      <c r="O31" s="644" t="str">
        <f t="shared" si="0"/>
        <v/>
      </c>
      <c r="P31" s="658" t="str">
        <f>IF(O31="","",IFERROR(IF(O31="Exempt","N/A, Vehicle is exempt",IF(AND($O31="Non-Exempt",$L31&gt;=VLOOKUP($G31&amp;$J31,'DOER reference'!$W$4:$X$15,2,FALSE)),"Yes","No, please contact your Regional Coordinator")),""))</f>
        <v/>
      </c>
      <c r="Q31" s="404"/>
      <c r="R31" s="666"/>
    </row>
    <row r="32" spans="1:18" x14ac:dyDescent="0.2">
      <c r="A32" s="659"/>
      <c r="B32" s="665"/>
      <c r="C32" s="669"/>
      <c r="D32" s="670"/>
      <c r="E32" s="608"/>
      <c r="F32" s="608"/>
      <c r="G32" s="606"/>
      <c r="H32" s="608"/>
      <c r="I32" s="611"/>
      <c r="J32" s="608"/>
      <c r="K32" s="608"/>
      <c r="L32" s="609"/>
      <c r="M32" s="671"/>
      <c r="N32" s="672"/>
      <c r="O32" s="644" t="str">
        <f t="shared" si="0"/>
        <v/>
      </c>
      <c r="P32" s="658" t="str">
        <f>IF(O32="","",IFERROR(IF(O32="Exempt","N/A, Vehicle is exempt",IF(AND($O32="Non-Exempt",$L32&gt;=VLOOKUP($G32&amp;$J32,'DOER reference'!$W$4:$X$15,2,FALSE)),"Yes","No, please contact your Regional Coordinator")),""))</f>
        <v/>
      </c>
      <c r="Q32" s="404"/>
      <c r="R32" s="666"/>
    </row>
    <row r="33" spans="1:19" x14ac:dyDescent="0.2">
      <c r="A33" s="659"/>
      <c r="B33" s="665"/>
      <c r="C33" s="669"/>
      <c r="D33" s="670"/>
      <c r="E33" s="608"/>
      <c r="F33" s="608"/>
      <c r="G33" s="606"/>
      <c r="H33" s="608"/>
      <c r="I33" s="611"/>
      <c r="J33" s="608"/>
      <c r="K33" s="608"/>
      <c r="L33" s="609"/>
      <c r="M33" s="671"/>
      <c r="N33" s="672"/>
      <c r="O33" s="644" t="str">
        <f t="shared" si="0"/>
        <v/>
      </c>
      <c r="P33" s="658" t="str">
        <f>IF(O33="","",IFERROR(IF(O33="Exempt","N/A, Vehicle is exempt",IF(AND($O33="Non-Exempt",$L33&gt;=VLOOKUP($G33&amp;$J33,'DOER reference'!$W$4:$X$15,2,FALSE)),"Yes","No, please contact your Regional Coordinator")),""))</f>
        <v/>
      </c>
      <c r="Q33" s="404"/>
      <c r="R33" s="666"/>
    </row>
    <row r="34" spans="1:19" x14ac:dyDescent="0.2">
      <c r="A34" s="659"/>
      <c r="B34" s="665"/>
      <c r="C34" s="669"/>
      <c r="D34" s="670"/>
      <c r="E34" s="608"/>
      <c r="F34" s="608"/>
      <c r="G34" s="606"/>
      <c r="H34" s="608"/>
      <c r="I34" s="611"/>
      <c r="J34" s="608"/>
      <c r="K34" s="608"/>
      <c r="L34" s="609"/>
      <c r="M34" s="671"/>
      <c r="N34" s="672"/>
      <c r="O34" s="644" t="str">
        <f t="shared" si="0"/>
        <v/>
      </c>
      <c r="P34" s="658" t="str">
        <f>IF(O34="","",IFERROR(IF(O34="Exempt","N/A, Vehicle is exempt",IF(AND($O34="Non-Exempt",$L34&gt;=VLOOKUP($G34&amp;$J34,'DOER reference'!$W$4:$X$15,2,FALSE)),"Yes","No, please contact your Regional Coordinator")),""))</f>
        <v/>
      </c>
      <c r="Q34" s="404"/>
      <c r="R34" s="666"/>
    </row>
    <row r="35" spans="1:19" x14ac:dyDescent="0.2">
      <c r="A35" s="659"/>
      <c r="B35" s="665"/>
      <c r="C35" s="669"/>
      <c r="D35" s="670"/>
      <c r="E35" s="608"/>
      <c r="F35" s="608"/>
      <c r="G35" s="606"/>
      <c r="H35" s="608"/>
      <c r="I35" s="611"/>
      <c r="J35" s="608"/>
      <c r="K35" s="608"/>
      <c r="L35" s="609"/>
      <c r="M35" s="671"/>
      <c r="N35" s="672"/>
      <c r="O35" s="644" t="str">
        <f t="shared" si="0"/>
        <v/>
      </c>
      <c r="P35" s="658" t="str">
        <f>IF(O35="","",IFERROR(IF(O35="Exempt","N/A, Vehicle is exempt",IF(AND($O35="Non-Exempt",$L35&gt;=VLOOKUP($G35&amp;$J35,'DOER reference'!$W$4:$X$15,2,FALSE)),"Yes","No, please contact your Regional Coordinator")),""))</f>
        <v/>
      </c>
      <c r="Q35" s="404"/>
      <c r="R35" s="666"/>
    </row>
    <row r="36" spans="1:19" x14ac:dyDescent="0.2">
      <c r="A36" s="659"/>
      <c r="B36" s="665"/>
      <c r="C36" s="669"/>
      <c r="D36" s="670"/>
      <c r="E36" s="608"/>
      <c r="F36" s="608"/>
      <c r="G36" s="606"/>
      <c r="H36" s="608"/>
      <c r="I36" s="611"/>
      <c r="J36" s="608"/>
      <c r="K36" s="608"/>
      <c r="L36" s="609"/>
      <c r="M36" s="671"/>
      <c r="N36" s="672"/>
      <c r="O36" s="644" t="str">
        <f t="shared" si="0"/>
        <v/>
      </c>
      <c r="P36" s="658" t="str">
        <f>IF(O36="","",IFERROR(IF(O36="Exempt","N/A, Vehicle is exempt",IF(AND($O36="Non-Exempt",$L36&gt;=VLOOKUP($G36&amp;$J36,'DOER reference'!$W$4:$X$15,2,FALSE)),"Yes","No, please contact your Regional Coordinator")),""))</f>
        <v/>
      </c>
      <c r="Q36" s="404"/>
      <c r="R36" s="666"/>
    </row>
    <row r="37" spans="1:19" x14ac:dyDescent="0.2">
      <c r="A37" s="659"/>
      <c r="B37" s="665"/>
      <c r="C37" s="669"/>
      <c r="D37" s="670"/>
      <c r="E37" s="608"/>
      <c r="F37" s="608"/>
      <c r="G37" s="606"/>
      <c r="H37" s="608"/>
      <c r="I37" s="611"/>
      <c r="J37" s="608"/>
      <c r="K37" s="608"/>
      <c r="L37" s="609"/>
      <c r="M37" s="671"/>
      <c r="N37" s="672"/>
      <c r="O37" s="644" t="str">
        <f t="shared" si="0"/>
        <v/>
      </c>
      <c r="P37" s="658" t="str">
        <f>IF(O37="","",IFERROR(IF(O37="Exempt","N/A, Vehicle is exempt",IF(AND($O37="Non-Exempt",$L37&gt;=VLOOKUP($G37&amp;$J37,'DOER reference'!$W$4:$X$15,2,FALSE)),"Yes","No, please contact your Regional Coordinator")),""))</f>
        <v/>
      </c>
      <c r="Q37" s="404"/>
      <c r="R37" s="666"/>
    </row>
    <row r="38" spans="1:19" ht="13.5" thickBot="1" x14ac:dyDescent="0.25">
      <c r="A38" s="659"/>
      <c r="B38" s="665"/>
      <c r="C38" s="675"/>
      <c r="D38" s="676"/>
      <c r="E38" s="612"/>
      <c r="F38" s="612"/>
      <c r="G38" s="677"/>
      <c r="H38" s="612"/>
      <c r="I38" s="613"/>
      <c r="J38" s="612"/>
      <c r="K38" s="612"/>
      <c r="L38" s="614"/>
      <c r="M38" s="678"/>
      <c r="N38" s="679"/>
      <c r="O38" s="644" t="str">
        <f t="shared" si="0"/>
        <v/>
      </c>
      <c r="P38" s="658" t="str">
        <f>IF(O38="","",IFERROR(IF(O38="Exempt","N/A, Vehicle is exempt",IF(AND($O38="Non-Exempt",$L38&gt;=VLOOKUP($G38&amp;$J38,'DOER reference'!$W$4:$X$15,2,FALSE)),"Yes","No, please contact your Regional Coordinator")),""))</f>
        <v/>
      </c>
      <c r="Q38" s="404"/>
      <c r="R38" s="666"/>
    </row>
    <row r="39" spans="1:19" ht="20.45" customHeight="1" thickBot="1" x14ac:dyDescent="0.25">
      <c r="A39" s="659"/>
      <c r="B39" s="665"/>
      <c r="C39" s="127"/>
      <c r="D39" s="127"/>
      <c r="E39" s="127"/>
      <c r="F39" s="127"/>
      <c r="G39" s="680"/>
      <c r="H39" s="127"/>
      <c r="I39" s="127"/>
      <c r="J39" s="681"/>
      <c r="K39" s="127"/>
      <c r="L39" s="127"/>
      <c r="M39" s="127"/>
      <c r="N39" s="127"/>
      <c r="O39" s="127"/>
      <c r="P39" s="127"/>
      <c r="Q39" s="404"/>
      <c r="R39" s="666"/>
    </row>
    <row r="40" spans="1:19" ht="47.45" customHeight="1" x14ac:dyDescent="0.2">
      <c r="A40" s="659"/>
      <c r="B40" s="665"/>
      <c r="C40" s="1083" t="s">
        <v>397</v>
      </c>
      <c r="D40" s="1084"/>
      <c r="E40" s="1084"/>
      <c r="F40" s="1084"/>
      <c r="G40" s="1084"/>
      <c r="H40" s="1084"/>
      <c r="I40" s="1084"/>
      <c r="J40" s="1084"/>
      <c r="K40" s="1084"/>
      <c r="L40" s="1085"/>
      <c r="M40" s="1084"/>
      <c r="N40" s="1084"/>
      <c r="O40" s="1084"/>
      <c r="P40" s="1086"/>
      <c r="Q40" s="404"/>
      <c r="R40" s="666"/>
    </row>
    <row r="41" spans="1:19" ht="84.6" customHeight="1" x14ac:dyDescent="0.2">
      <c r="A41" s="659"/>
      <c r="B41" s="665"/>
      <c r="C41" s="624"/>
      <c r="D41" s="682" t="s">
        <v>399</v>
      </c>
      <c r="E41" s="683" t="s">
        <v>387</v>
      </c>
      <c r="F41" s="683" t="s">
        <v>388</v>
      </c>
      <c r="G41" s="683" t="s">
        <v>389</v>
      </c>
      <c r="H41" s="683" t="s">
        <v>390</v>
      </c>
      <c r="I41" s="683" t="s">
        <v>398</v>
      </c>
      <c r="J41" s="683" t="s">
        <v>392</v>
      </c>
      <c r="K41" s="684" t="s">
        <v>393</v>
      </c>
      <c r="L41" s="623"/>
      <c r="M41" s="685" t="s">
        <v>672</v>
      </c>
      <c r="N41" s="686" t="s">
        <v>668</v>
      </c>
      <c r="O41" s="639" t="s">
        <v>675</v>
      </c>
      <c r="P41" s="625"/>
      <c r="Q41" s="621"/>
      <c r="R41" s="666"/>
      <c r="S41" s="659"/>
    </row>
    <row r="42" spans="1:19" x14ac:dyDescent="0.2">
      <c r="A42" s="659"/>
      <c r="B42" s="665"/>
      <c r="C42" s="624"/>
      <c r="D42" s="687" t="s">
        <v>407</v>
      </c>
      <c r="E42" s="608" t="s">
        <v>402</v>
      </c>
      <c r="F42" s="608" t="s">
        <v>425</v>
      </c>
      <c r="G42" s="606" t="s">
        <v>456</v>
      </c>
      <c r="H42" s="608">
        <v>1999</v>
      </c>
      <c r="I42" s="611">
        <v>36342</v>
      </c>
      <c r="J42" s="608" t="s">
        <v>404</v>
      </c>
      <c r="K42" s="688" t="s">
        <v>400</v>
      </c>
      <c r="L42" s="651"/>
      <c r="M42" s="689" t="s">
        <v>426</v>
      </c>
      <c r="N42" s="671" t="s">
        <v>401</v>
      </c>
      <c r="O42" s="644" t="str">
        <f>IF(K42="","",IF(K42="&lt;Select One&gt;","",IF(N42="","",IF(K42="Y","Exempt",IF(N42="Y","Exempt","Non-Exempt")))))</f>
        <v>Exempt</v>
      </c>
      <c r="P42" s="625"/>
      <c r="Q42" s="621"/>
      <c r="R42" s="666"/>
      <c r="S42" s="659"/>
    </row>
    <row r="43" spans="1:19" x14ac:dyDescent="0.2">
      <c r="A43" s="659"/>
      <c r="B43" s="665"/>
      <c r="C43" s="624"/>
      <c r="D43" s="687" t="s">
        <v>407</v>
      </c>
      <c r="E43" s="608" t="s">
        <v>402</v>
      </c>
      <c r="F43" s="608" t="s">
        <v>427</v>
      </c>
      <c r="G43" s="606" t="s">
        <v>456</v>
      </c>
      <c r="H43" s="608">
        <v>2005</v>
      </c>
      <c r="I43" s="611">
        <v>38353</v>
      </c>
      <c r="J43" s="608" t="s">
        <v>404</v>
      </c>
      <c r="K43" s="688" t="s">
        <v>400</v>
      </c>
      <c r="L43" s="651"/>
      <c r="M43" s="689" t="s">
        <v>428</v>
      </c>
      <c r="N43" s="671" t="s">
        <v>400</v>
      </c>
      <c r="O43" s="644" t="str">
        <f>IF(K43="","",IF(K43="&lt;Select One&gt;","",IF(N43="","",IF(K43="Y","Exempt",IF(N43="Y","Exempt","Non-Exempt")))))</f>
        <v>Non-Exempt</v>
      </c>
      <c r="P43" s="625"/>
      <c r="Q43" s="621"/>
      <c r="R43" s="666"/>
      <c r="S43" s="659"/>
    </row>
    <row r="44" spans="1:19" x14ac:dyDescent="0.2">
      <c r="A44" s="659"/>
      <c r="B44" s="665"/>
      <c r="C44" s="624"/>
      <c r="D44" s="687" t="s">
        <v>407</v>
      </c>
      <c r="E44" s="608" t="s">
        <v>429</v>
      </c>
      <c r="F44" s="608" t="s">
        <v>430</v>
      </c>
      <c r="G44" s="606" t="s">
        <v>460</v>
      </c>
      <c r="H44" s="608">
        <v>2006</v>
      </c>
      <c r="I44" s="611"/>
      <c r="J44" s="608"/>
      <c r="K44" s="688" t="s">
        <v>401</v>
      </c>
      <c r="L44" s="651"/>
      <c r="M44" s="689" t="s">
        <v>416</v>
      </c>
      <c r="N44" s="671" t="s">
        <v>400</v>
      </c>
      <c r="O44" s="644" t="str">
        <f t="shared" ref="O44:O75" si="1">IF(K44="","",IF(K44="&lt;Select One&gt;","",IF(N44="","",IF(K44="Y","Exempt",IF(N44="Y","Exempt","Non-Exempt")))))</f>
        <v>Exempt</v>
      </c>
      <c r="P44" s="625"/>
      <c r="Q44" s="621"/>
      <c r="R44" s="666"/>
      <c r="S44" s="659"/>
    </row>
    <row r="45" spans="1:19" x14ac:dyDescent="0.2">
      <c r="A45" s="659"/>
      <c r="B45" s="665"/>
      <c r="C45" s="624"/>
      <c r="D45" s="687"/>
      <c r="E45" s="608"/>
      <c r="F45" s="608"/>
      <c r="G45" s="606"/>
      <c r="H45" s="608"/>
      <c r="I45" s="611"/>
      <c r="J45" s="608"/>
      <c r="K45" s="688"/>
      <c r="L45" s="651"/>
      <c r="M45" s="689"/>
      <c r="N45" s="606"/>
      <c r="O45" s="644" t="str">
        <f t="shared" si="1"/>
        <v/>
      </c>
      <c r="P45" s="625"/>
      <c r="Q45" s="621"/>
      <c r="R45" s="666"/>
      <c r="S45" s="659"/>
    </row>
    <row r="46" spans="1:19" x14ac:dyDescent="0.2">
      <c r="A46" s="659"/>
      <c r="B46" s="665"/>
      <c r="C46" s="624"/>
      <c r="D46" s="687"/>
      <c r="E46" s="608"/>
      <c r="F46" s="608"/>
      <c r="G46" s="606"/>
      <c r="H46" s="608"/>
      <c r="I46" s="611"/>
      <c r="J46" s="608"/>
      <c r="K46" s="688"/>
      <c r="L46" s="651"/>
      <c r="M46" s="689"/>
      <c r="N46" s="606"/>
      <c r="O46" s="644" t="str">
        <f t="shared" si="1"/>
        <v/>
      </c>
      <c r="P46" s="625"/>
      <c r="Q46" s="621"/>
      <c r="R46" s="666"/>
      <c r="S46" s="659"/>
    </row>
    <row r="47" spans="1:19" x14ac:dyDescent="0.2">
      <c r="A47" s="659"/>
      <c r="B47" s="665"/>
      <c r="C47" s="624"/>
      <c r="D47" s="687"/>
      <c r="E47" s="608"/>
      <c r="F47" s="608"/>
      <c r="G47" s="606"/>
      <c r="H47" s="608"/>
      <c r="I47" s="611"/>
      <c r="J47" s="608"/>
      <c r="K47" s="688"/>
      <c r="L47" s="651"/>
      <c r="M47" s="689"/>
      <c r="N47" s="606"/>
      <c r="O47" s="644" t="str">
        <f t="shared" si="1"/>
        <v/>
      </c>
      <c r="P47" s="625"/>
      <c r="Q47" s="621"/>
      <c r="R47" s="666"/>
      <c r="S47" s="659"/>
    </row>
    <row r="48" spans="1:19" x14ac:dyDescent="0.2">
      <c r="A48" s="659"/>
      <c r="B48" s="665"/>
      <c r="C48" s="624"/>
      <c r="D48" s="687"/>
      <c r="E48" s="608"/>
      <c r="F48" s="608"/>
      <c r="G48" s="606"/>
      <c r="H48" s="608"/>
      <c r="I48" s="611"/>
      <c r="J48" s="608"/>
      <c r="K48" s="688"/>
      <c r="L48" s="651"/>
      <c r="M48" s="689"/>
      <c r="N48" s="606"/>
      <c r="O48" s="644" t="str">
        <f t="shared" si="1"/>
        <v/>
      </c>
      <c r="P48" s="625"/>
      <c r="Q48" s="621"/>
      <c r="R48" s="666"/>
      <c r="S48" s="659"/>
    </row>
    <row r="49" spans="1:19" x14ac:dyDescent="0.2">
      <c r="A49" s="659"/>
      <c r="B49" s="665"/>
      <c r="C49" s="624"/>
      <c r="D49" s="687"/>
      <c r="E49" s="608"/>
      <c r="F49" s="608"/>
      <c r="G49" s="606"/>
      <c r="H49" s="608"/>
      <c r="I49" s="611"/>
      <c r="J49" s="608"/>
      <c r="K49" s="688"/>
      <c r="L49" s="651"/>
      <c r="M49" s="689"/>
      <c r="N49" s="606"/>
      <c r="O49" s="644" t="str">
        <f t="shared" si="1"/>
        <v/>
      </c>
      <c r="P49" s="625"/>
      <c r="Q49" s="621"/>
      <c r="R49" s="666"/>
      <c r="S49" s="659"/>
    </row>
    <row r="50" spans="1:19" x14ac:dyDescent="0.2">
      <c r="A50" s="659"/>
      <c r="B50" s="665"/>
      <c r="C50" s="624"/>
      <c r="D50" s="687"/>
      <c r="E50" s="608"/>
      <c r="F50" s="608"/>
      <c r="G50" s="606"/>
      <c r="H50" s="608"/>
      <c r="I50" s="611"/>
      <c r="J50" s="608"/>
      <c r="K50" s="688"/>
      <c r="L50" s="651"/>
      <c r="M50" s="689"/>
      <c r="N50" s="606"/>
      <c r="O50" s="644" t="str">
        <f t="shared" si="1"/>
        <v/>
      </c>
      <c r="P50" s="625"/>
      <c r="Q50" s="621"/>
      <c r="R50" s="666"/>
      <c r="S50" s="659"/>
    </row>
    <row r="51" spans="1:19" x14ac:dyDescent="0.2">
      <c r="A51" s="659"/>
      <c r="B51" s="665"/>
      <c r="C51" s="624"/>
      <c r="D51" s="687"/>
      <c r="E51" s="608"/>
      <c r="F51" s="608"/>
      <c r="G51" s="606"/>
      <c r="H51" s="608"/>
      <c r="I51" s="611"/>
      <c r="J51" s="608"/>
      <c r="K51" s="688"/>
      <c r="L51" s="651"/>
      <c r="M51" s="689"/>
      <c r="N51" s="606"/>
      <c r="O51" s="644" t="str">
        <f t="shared" si="1"/>
        <v/>
      </c>
      <c r="P51" s="625"/>
      <c r="Q51" s="621"/>
      <c r="R51" s="666"/>
      <c r="S51" s="659"/>
    </row>
    <row r="52" spans="1:19" x14ac:dyDescent="0.2">
      <c r="A52" s="659"/>
      <c r="B52" s="665"/>
      <c r="C52" s="624"/>
      <c r="D52" s="687"/>
      <c r="E52" s="608"/>
      <c r="F52" s="608"/>
      <c r="G52" s="606"/>
      <c r="H52" s="608"/>
      <c r="I52" s="611"/>
      <c r="J52" s="608"/>
      <c r="K52" s="688"/>
      <c r="L52" s="651"/>
      <c r="M52" s="689"/>
      <c r="N52" s="606"/>
      <c r="O52" s="644" t="str">
        <f t="shared" si="1"/>
        <v/>
      </c>
      <c r="P52" s="625"/>
      <c r="Q52" s="621"/>
      <c r="R52" s="666"/>
      <c r="S52" s="659"/>
    </row>
    <row r="53" spans="1:19" x14ac:dyDescent="0.2">
      <c r="A53" s="659"/>
      <c r="B53" s="665"/>
      <c r="C53" s="624"/>
      <c r="D53" s="687"/>
      <c r="E53" s="608"/>
      <c r="F53" s="608"/>
      <c r="G53" s="606"/>
      <c r="H53" s="608"/>
      <c r="I53" s="611"/>
      <c r="J53" s="608"/>
      <c r="K53" s="688"/>
      <c r="L53" s="651"/>
      <c r="M53" s="689"/>
      <c r="N53" s="606"/>
      <c r="O53" s="644" t="str">
        <f t="shared" si="1"/>
        <v/>
      </c>
      <c r="P53" s="625"/>
      <c r="Q53" s="621"/>
      <c r="R53" s="666"/>
      <c r="S53" s="659"/>
    </row>
    <row r="54" spans="1:19" x14ac:dyDescent="0.2">
      <c r="A54" s="659"/>
      <c r="B54" s="665"/>
      <c r="C54" s="624"/>
      <c r="D54" s="687"/>
      <c r="E54" s="608"/>
      <c r="F54" s="608"/>
      <c r="G54" s="606"/>
      <c r="H54" s="608"/>
      <c r="I54" s="611"/>
      <c r="J54" s="608"/>
      <c r="K54" s="688"/>
      <c r="L54" s="651"/>
      <c r="M54" s="689"/>
      <c r="N54" s="606"/>
      <c r="O54" s="644" t="str">
        <f t="shared" si="1"/>
        <v/>
      </c>
      <c r="P54" s="625"/>
      <c r="Q54" s="621"/>
      <c r="R54" s="666"/>
      <c r="S54" s="659"/>
    </row>
    <row r="55" spans="1:19" x14ac:dyDescent="0.2">
      <c r="A55" s="659"/>
      <c r="B55" s="665"/>
      <c r="C55" s="624"/>
      <c r="D55" s="687"/>
      <c r="E55" s="608"/>
      <c r="F55" s="608"/>
      <c r="G55" s="606"/>
      <c r="H55" s="608"/>
      <c r="I55" s="611"/>
      <c r="J55" s="608"/>
      <c r="K55" s="688"/>
      <c r="L55" s="651"/>
      <c r="M55" s="689"/>
      <c r="N55" s="606"/>
      <c r="O55" s="644" t="str">
        <f t="shared" si="1"/>
        <v/>
      </c>
      <c r="P55" s="625"/>
      <c r="Q55" s="621"/>
      <c r="R55" s="666"/>
      <c r="S55" s="659"/>
    </row>
    <row r="56" spans="1:19" x14ac:dyDescent="0.2">
      <c r="A56" s="659"/>
      <c r="B56" s="665"/>
      <c r="C56" s="624"/>
      <c r="D56" s="687"/>
      <c r="E56" s="608"/>
      <c r="F56" s="608"/>
      <c r="G56" s="606"/>
      <c r="H56" s="608"/>
      <c r="I56" s="611"/>
      <c r="J56" s="608"/>
      <c r="K56" s="688"/>
      <c r="L56" s="651"/>
      <c r="M56" s="689"/>
      <c r="N56" s="606"/>
      <c r="O56" s="644" t="str">
        <f t="shared" si="1"/>
        <v/>
      </c>
      <c r="P56" s="625"/>
      <c r="Q56" s="621"/>
      <c r="R56" s="666"/>
      <c r="S56" s="659"/>
    </row>
    <row r="57" spans="1:19" x14ac:dyDescent="0.2">
      <c r="A57" s="659"/>
      <c r="B57" s="665"/>
      <c r="C57" s="624"/>
      <c r="D57" s="687"/>
      <c r="E57" s="608"/>
      <c r="F57" s="608"/>
      <c r="G57" s="606"/>
      <c r="H57" s="608"/>
      <c r="I57" s="611"/>
      <c r="J57" s="608"/>
      <c r="K57" s="688"/>
      <c r="L57" s="651"/>
      <c r="M57" s="689"/>
      <c r="N57" s="606"/>
      <c r="O57" s="644" t="str">
        <f t="shared" si="1"/>
        <v/>
      </c>
      <c r="P57" s="625"/>
      <c r="Q57" s="621"/>
      <c r="R57" s="666"/>
      <c r="S57" s="659"/>
    </row>
    <row r="58" spans="1:19" x14ac:dyDescent="0.2">
      <c r="A58" s="659"/>
      <c r="B58" s="665"/>
      <c r="C58" s="624"/>
      <c r="D58" s="687"/>
      <c r="E58" s="608"/>
      <c r="F58" s="608"/>
      <c r="G58" s="606"/>
      <c r="H58" s="608"/>
      <c r="I58" s="611"/>
      <c r="J58" s="608"/>
      <c r="K58" s="688"/>
      <c r="L58" s="651"/>
      <c r="M58" s="689"/>
      <c r="N58" s="606"/>
      <c r="O58" s="644" t="str">
        <f t="shared" si="1"/>
        <v/>
      </c>
      <c r="P58" s="625"/>
      <c r="Q58" s="621"/>
      <c r="R58" s="666"/>
      <c r="S58" s="659"/>
    </row>
    <row r="59" spans="1:19" x14ac:dyDescent="0.2">
      <c r="A59" s="659"/>
      <c r="B59" s="665"/>
      <c r="C59" s="624"/>
      <c r="D59" s="687"/>
      <c r="E59" s="608"/>
      <c r="F59" s="608"/>
      <c r="G59" s="606"/>
      <c r="H59" s="608"/>
      <c r="I59" s="611"/>
      <c r="J59" s="608"/>
      <c r="K59" s="688"/>
      <c r="L59" s="651"/>
      <c r="M59" s="689"/>
      <c r="N59" s="606"/>
      <c r="O59" s="644" t="str">
        <f t="shared" si="1"/>
        <v/>
      </c>
      <c r="P59" s="625"/>
      <c r="Q59" s="621"/>
      <c r="R59" s="666"/>
      <c r="S59" s="659"/>
    </row>
    <row r="60" spans="1:19" x14ac:dyDescent="0.2">
      <c r="A60" s="659"/>
      <c r="B60" s="665"/>
      <c r="C60" s="624"/>
      <c r="D60" s="687"/>
      <c r="E60" s="608"/>
      <c r="F60" s="608"/>
      <c r="G60" s="606"/>
      <c r="H60" s="608"/>
      <c r="I60" s="611"/>
      <c r="J60" s="608"/>
      <c r="K60" s="688"/>
      <c r="L60" s="651"/>
      <c r="M60" s="689"/>
      <c r="N60" s="606"/>
      <c r="O60" s="644" t="str">
        <f t="shared" si="1"/>
        <v/>
      </c>
      <c r="P60" s="625"/>
      <c r="Q60" s="621"/>
      <c r="R60" s="666"/>
      <c r="S60" s="659"/>
    </row>
    <row r="61" spans="1:19" x14ac:dyDescent="0.2">
      <c r="A61" s="659"/>
      <c r="B61" s="665"/>
      <c r="C61" s="624"/>
      <c r="D61" s="687"/>
      <c r="E61" s="608"/>
      <c r="F61" s="608"/>
      <c r="G61" s="606"/>
      <c r="H61" s="608"/>
      <c r="I61" s="611"/>
      <c r="J61" s="608"/>
      <c r="K61" s="688"/>
      <c r="L61" s="651"/>
      <c r="M61" s="689"/>
      <c r="N61" s="606"/>
      <c r="O61" s="644" t="str">
        <f t="shared" si="1"/>
        <v/>
      </c>
      <c r="P61" s="625"/>
      <c r="Q61" s="621"/>
      <c r="R61" s="666"/>
      <c r="S61" s="659"/>
    </row>
    <row r="62" spans="1:19" x14ac:dyDescent="0.2">
      <c r="A62" s="659"/>
      <c r="B62" s="665"/>
      <c r="C62" s="624"/>
      <c r="D62" s="687"/>
      <c r="E62" s="608"/>
      <c r="F62" s="608"/>
      <c r="G62" s="606"/>
      <c r="H62" s="608"/>
      <c r="I62" s="611"/>
      <c r="J62" s="608"/>
      <c r="K62" s="688"/>
      <c r="L62" s="651"/>
      <c r="M62" s="689"/>
      <c r="N62" s="606"/>
      <c r="O62" s="644" t="str">
        <f t="shared" si="1"/>
        <v/>
      </c>
      <c r="P62" s="625"/>
      <c r="Q62" s="621"/>
      <c r="R62" s="666"/>
      <c r="S62" s="659"/>
    </row>
    <row r="63" spans="1:19" x14ac:dyDescent="0.2">
      <c r="A63" s="659"/>
      <c r="B63" s="665"/>
      <c r="C63" s="624"/>
      <c r="D63" s="687"/>
      <c r="E63" s="608"/>
      <c r="F63" s="608"/>
      <c r="G63" s="606"/>
      <c r="H63" s="608"/>
      <c r="I63" s="611"/>
      <c r="J63" s="608"/>
      <c r="K63" s="688"/>
      <c r="L63" s="651"/>
      <c r="M63" s="689"/>
      <c r="N63" s="606"/>
      <c r="O63" s="644" t="str">
        <f t="shared" si="1"/>
        <v/>
      </c>
      <c r="P63" s="625"/>
      <c r="Q63" s="621"/>
      <c r="R63" s="666"/>
      <c r="S63" s="659"/>
    </row>
    <row r="64" spans="1:19" x14ac:dyDescent="0.2">
      <c r="A64" s="659"/>
      <c r="B64" s="665"/>
      <c r="C64" s="624"/>
      <c r="D64" s="687"/>
      <c r="E64" s="608"/>
      <c r="F64" s="608"/>
      <c r="G64" s="606"/>
      <c r="H64" s="608"/>
      <c r="I64" s="611"/>
      <c r="J64" s="608"/>
      <c r="K64" s="688"/>
      <c r="L64" s="651"/>
      <c r="M64" s="689"/>
      <c r="N64" s="606"/>
      <c r="O64" s="644" t="str">
        <f t="shared" si="1"/>
        <v/>
      </c>
      <c r="P64" s="625"/>
      <c r="Q64" s="621"/>
      <c r="R64" s="666"/>
      <c r="S64" s="659"/>
    </row>
    <row r="65" spans="1:19" x14ac:dyDescent="0.2">
      <c r="A65" s="659"/>
      <c r="B65" s="665"/>
      <c r="C65" s="624"/>
      <c r="D65" s="687"/>
      <c r="E65" s="608"/>
      <c r="F65" s="608"/>
      <c r="G65" s="606"/>
      <c r="H65" s="608"/>
      <c r="I65" s="611"/>
      <c r="J65" s="608"/>
      <c r="K65" s="688"/>
      <c r="L65" s="651"/>
      <c r="M65" s="689"/>
      <c r="N65" s="606"/>
      <c r="O65" s="644" t="str">
        <f t="shared" si="1"/>
        <v/>
      </c>
      <c r="P65" s="625"/>
      <c r="Q65" s="621"/>
      <c r="R65" s="666"/>
      <c r="S65" s="659"/>
    </row>
    <row r="66" spans="1:19" x14ac:dyDescent="0.2">
      <c r="A66" s="659"/>
      <c r="B66" s="665"/>
      <c r="C66" s="624"/>
      <c r="D66" s="687"/>
      <c r="E66" s="608"/>
      <c r="F66" s="608"/>
      <c r="G66" s="606"/>
      <c r="H66" s="608"/>
      <c r="I66" s="611"/>
      <c r="J66" s="608"/>
      <c r="K66" s="688"/>
      <c r="L66" s="651"/>
      <c r="M66" s="689"/>
      <c r="N66" s="606"/>
      <c r="O66" s="644" t="str">
        <f t="shared" si="1"/>
        <v/>
      </c>
      <c r="P66" s="625"/>
      <c r="Q66" s="621"/>
      <c r="R66" s="666"/>
      <c r="S66" s="659"/>
    </row>
    <row r="67" spans="1:19" x14ac:dyDescent="0.2">
      <c r="A67" s="659"/>
      <c r="B67" s="665"/>
      <c r="C67" s="624"/>
      <c r="D67" s="687"/>
      <c r="E67" s="608"/>
      <c r="F67" s="608"/>
      <c r="G67" s="606"/>
      <c r="H67" s="608"/>
      <c r="I67" s="611"/>
      <c r="J67" s="608"/>
      <c r="K67" s="688"/>
      <c r="L67" s="651"/>
      <c r="M67" s="689"/>
      <c r="N67" s="606"/>
      <c r="O67" s="644" t="str">
        <f t="shared" si="1"/>
        <v/>
      </c>
      <c r="P67" s="625"/>
      <c r="Q67" s="621"/>
      <c r="R67" s="666"/>
      <c r="S67" s="659"/>
    </row>
    <row r="68" spans="1:19" x14ac:dyDescent="0.2">
      <c r="A68" s="659"/>
      <c r="B68" s="665"/>
      <c r="C68" s="624"/>
      <c r="D68" s="687"/>
      <c r="E68" s="608"/>
      <c r="F68" s="608"/>
      <c r="G68" s="606"/>
      <c r="H68" s="608"/>
      <c r="I68" s="611"/>
      <c r="J68" s="608"/>
      <c r="K68" s="688"/>
      <c r="L68" s="651"/>
      <c r="M68" s="689"/>
      <c r="N68" s="606"/>
      <c r="O68" s="644" t="str">
        <f t="shared" si="1"/>
        <v/>
      </c>
      <c r="P68" s="625"/>
      <c r="Q68" s="621"/>
      <c r="R68" s="666"/>
      <c r="S68" s="659"/>
    </row>
    <row r="69" spans="1:19" x14ac:dyDescent="0.2">
      <c r="A69" s="659"/>
      <c r="B69" s="665"/>
      <c r="C69" s="624"/>
      <c r="D69" s="687"/>
      <c r="E69" s="608"/>
      <c r="F69" s="608"/>
      <c r="G69" s="606"/>
      <c r="H69" s="608"/>
      <c r="I69" s="611"/>
      <c r="J69" s="608"/>
      <c r="K69" s="688"/>
      <c r="L69" s="651"/>
      <c r="M69" s="689"/>
      <c r="N69" s="606"/>
      <c r="O69" s="644" t="str">
        <f t="shared" si="1"/>
        <v/>
      </c>
      <c r="P69" s="625"/>
      <c r="Q69" s="621"/>
      <c r="R69" s="666"/>
      <c r="S69" s="659"/>
    </row>
    <row r="70" spans="1:19" x14ac:dyDescent="0.2">
      <c r="A70" s="659"/>
      <c r="B70" s="665"/>
      <c r="C70" s="624"/>
      <c r="D70" s="687"/>
      <c r="E70" s="608"/>
      <c r="F70" s="608"/>
      <c r="G70" s="606"/>
      <c r="H70" s="608"/>
      <c r="I70" s="611"/>
      <c r="J70" s="608"/>
      <c r="K70" s="688"/>
      <c r="L70" s="651"/>
      <c r="M70" s="689"/>
      <c r="N70" s="606"/>
      <c r="O70" s="644" t="str">
        <f t="shared" si="1"/>
        <v/>
      </c>
      <c r="P70" s="625"/>
      <c r="Q70" s="621"/>
      <c r="R70" s="666"/>
      <c r="S70" s="659"/>
    </row>
    <row r="71" spans="1:19" x14ac:dyDescent="0.2">
      <c r="A71" s="659"/>
      <c r="B71" s="665"/>
      <c r="C71" s="624"/>
      <c r="D71" s="687"/>
      <c r="E71" s="608"/>
      <c r="F71" s="608"/>
      <c r="G71" s="606"/>
      <c r="H71" s="608"/>
      <c r="I71" s="611"/>
      <c r="J71" s="608"/>
      <c r="K71" s="688"/>
      <c r="L71" s="651"/>
      <c r="M71" s="689"/>
      <c r="N71" s="606"/>
      <c r="O71" s="644" t="str">
        <f t="shared" si="1"/>
        <v/>
      </c>
      <c r="P71" s="625"/>
      <c r="Q71" s="621"/>
      <c r="R71" s="666"/>
      <c r="S71" s="659"/>
    </row>
    <row r="72" spans="1:19" x14ac:dyDescent="0.2">
      <c r="A72" s="659"/>
      <c r="B72" s="665"/>
      <c r="C72" s="624"/>
      <c r="D72" s="687"/>
      <c r="E72" s="608"/>
      <c r="F72" s="608"/>
      <c r="G72" s="606"/>
      <c r="H72" s="608"/>
      <c r="I72" s="611"/>
      <c r="J72" s="608"/>
      <c r="K72" s="688"/>
      <c r="L72" s="651"/>
      <c r="M72" s="689"/>
      <c r="N72" s="606"/>
      <c r="O72" s="644" t="str">
        <f t="shared" si="1"/>
        <v/>
      </c>
      <c r="P72" s="625"/>
      <c r="Q72" s="621"/>
      <c r="R72" s="666"/>
      <c r="S72" s="659"/>
    </row>
    <row r="73" spans="1:19" x14ac:dyDescent="0.2">
      <c r="A73" s="659"/>
      <c r="B73" s="665"/>
      <c r="C73" s="624"/>
      <c r="D73" s="687"/>
      <c r="E73" s="608"/>
      <c r="F73" s="608"/>
      <c r="G73" s="606"/>
      <c r="H73" s="608"/>
      <c r="I73" s="611"/>
      <c r="J73" s="608"/>
      <c r="K73" s="688"/>
      <c r="L73" s="651"/>
      <c r="M73" s="689"/>
      <c r="N73" s="606"/>
      <c r="O73" s="644" t="str">
        <f t="shared" si="1"/>
        <v/>
      </c>
      <c r="P73" s="625"/>
      <c r="Q73" s="621"/>
      <c r="R73" s="666"/>
      <c r="S73" s="659"/>
    </row>
    <row r="74" spans="1:19" x14ac:dyDescent="0.2">
      <c r="A74" s="659"/>
      <c r="B74" s="665"/>
      <c r="C74" s="624"/>
      <c r="D74" s="687"/>
      <c r="E74" s="608"/>
      <c r="F74" s="608"/>
      <c r="G74" s="606"/>
      <c r="H74" s="608"/>
      <c r="I74" s="611"/>
      <c r="J74" s="608"/>
      <c r="K74" s="688"/>
      <c r="L74" s="651"/>
      <c r="M74" s="689"/>
      <c r="N74" s="606"/>
      <c r="O74" s="644" t="str">
        <f t="shared" si="1"/>
        <v/>
      </c>
      <c r="P74" s="625"/>
      <c r="Q74" s="621"/>
      <c r="R74" s="666"/>
      <c r="S74" s="659"/>
    </row>
    <row r="75" spans="1:19" ht="13.5" thickBot="1" x14ac:dyDescent="0.25">
      <c r="A75" s="659"/>
      <c r="B75" s="665"/>
      <c r="C75" s="626"/>
      <c r="D75" s="690"/>
      <c r="E75" s="612"/>
      <c r="F75" s="612"/>
      <c r="G75" s="677"/>
      <c r="H75" s="612"/>
      <c r="I75" s="613"/>
      <c r="J75" s="612"/>
      <c r="K75" s="691"/>
      <c r="L75" s="654"/>
      <c r="M75" s="692"/>
      <c r="N75" s="677"/>
      <c r="O75" s="649" t="str">
        <f t="shared" si="1"/>
        <v/>
      </c>
      <c r="P75" s="628"/>
      <c r="Q75" s="621"/>
      <c r="R75" s="666"/>
      <c r="S75" s="659"/>
    </row>
    <row r="76" spans="1:19" x14ac:dyDescent="0.2">
      <c r="A76" s="659"/>
      <c r="B76" s="665"/>
      <c r="C76" s="404"/>
      <c r="D76" s="404"/>
      <c r="E76" s="404"/>
      <c r="F76" s="404"/>
      <c r="G76" s="404"/>
      <c r="H76" s="693"/>
      <c r="I76" s="404"/>
      <c r="J76" s="404"/>
      <c r="K76" s="693"/>
      <c r="L76" s="404"/>
      <c r="M76" s="404"/>
      <c r="N76" s="404"/>
      <c r="O76" s="404"/>
      <c r="P76" s="404"/>
      <c r="Q76" s="404"/>
      <c r="R76" s="666"/>
      <c r="S76" s="659"/>
    </row>
    <row r="77" spans="1:19" x14ac:dyDescent="0.2">
      <c r="A77" s="659"/>
      <c r="B77" s="694"/>
      <c r="C77" s="695"/>
      <c r="D77" s="695"/>
      <c r="E77" s="695"/>
      <c r="F77" s="695"/>
      <c r="G77" s="695"/>
      <c r="H77" s="696"/>
      <c r="I77" s="695"/>
      <c r="J77" s="695"/>
      <c r="K77" s="696"/>
      <c r="L77" s="695"/>
      <c r="M77" s="695"/>
      <c r="N77" s="695"/>
      <c r="O77" s="695"/>
      <c r="P77" s="695"/>
      <c r="Q77" s="695"/>
      <c r="R77" s="697"/>
      <c r="S77" s="659"/>
    </row>
    <row r="78" spans="1:19" x14ac:dyDescent="0.2">
      <c r="A78" s="659"/>
      <c r="B78" s="659"/>
      <c r="C78" s="659"/>
      <c r="D78" s="659"/>
      <c r="E78" s="659"/>
      <c r="F78" s="659"/>
      <c r="G78" s="698"/>
      <c r="H78" s="659"/>
      <c r="I78" s="659"/>
      <c r="J78" s="698"/>
      <c r="K78" s="659"/>
      <c r="L78" s="659"/>
      <c r="M78" s="659"/>
      <c r="N78" s="659"/>
      <c r="O78" s="660"/>
      <c r="P78" s="659"/>
      <c r="Q78" s="659"/>
      <c r="R78" s="660"/>
    </row>
    <row r="79" spans="1:19" x14ac:dyDescent="0.2">
      <c r="A79" s="659"/>
      <c r="B79" s="659"/>
      <c r="C79" s="659"/>
      <c r="D79" s="659"/>
      <c r="E79" s="659"/>
      <c r="F79" s="659"/>
      <c r="G79" s="698"/>
      <c r="H79" s="659"/>
      <c r="I79" s="659"/>
      <c r="J79" s="698"/>
      <c r="K79" s="659"/>
      <c r="L79" s="659"/>
      <c r="M79" s="659"/>
      <c r="N79" s="659"/>
      <c r="O79" s="660"/>
      <c r="P79" s="659"/>
      <c r="Q79" s="659"/>
      <c r="R79" s="660"/>
    </row>
    <row r="80" spans="1:19" x14ac:dyDescent="0.2">
      <c r="A80" s="659"/>
      <c r="B80" s="659"/>
      <c r="C80" s="659"/>
      <c r="D80" s="659"/>
      <c r="E80" s="659"/>
      <c r="F80" s="659"/>
      <c r="G80" s="698"/>
      <c r="H80" s="659"/>
      <c r="I80" s="659"/>
      <c r="J80" s="698"/>
      <c r="K80" s="659"/>
      <c r="L80" s="659"/>
      <c r="M80" s="659"/>
      <c r="N80" s="659"/>
      <c r="O80" s="660"/>
      <c r="P80" s="659"/>
      <c r="Q80" s="659"/>
      <c r="R80" s="660"/>
    </row>
    <row r="81" spans="7:18" x14ac:dyDescent="0.2">
      <c r="G81" s="699"/>
      <c r="J81" s="699"/>
      <c r="O81" s="127"/>
      <c r="Q81" s="388"/>
      <c r="R81" s="127"/>
    </row>
    <row r="82" spans="7:18" x14ac:dyDescent="0.2">
      <c r="G82" s="699"/>
      <c r="J82" s="699"/>
      <c r="O82" s="127"/>
      <c r="Q82" s="388"/>
      <c r="R82" s="127"/>
    </row>
    <row r="83" spans="7:18" x14ac:dyDescent="0.2">
      <c r="G83" s="699"/>
      <c r="J83" s="699"/>
      <c r="O83" s="127"/>
    </row>
    <row r="84" spans="7:18" x14ac:dyDescent="0.2">
      <c r="G84" s="699"/>
      <c r="J84" s="699"/>
      <c r="O84" s="127"/>
    </row>
    <row r="85" spans="7:18" x14ac:dyDescent="0.2">
      <c r="G85" s="699"/>
      <c r="J85" s="699"/>
      <c r="O85" s="127"/>
    </row>
    <row r="86" spans="7:18" x14ac:dyDescent="0.2">
      <c r="G86" s="699"/>
      <c r="J86" s="699"/>
      <c r="O86" s="127"/>
    </row>
    <row r="87" spans="7:18" x14ac:dyDescent="0.2">
      <c r="G87" s="699"/>
      <c r="J87" s="699"/>
      <c r="O87" s="127"/>
    </row>
    <row r="88" spans="7:18" x14ac:dyDescent="0.2">
      <c r="G88" s="699"/>
      <c r="J88" s="699"/>
      <c r="O88" s="127"/>
    </row>
    <row r="89" spans="7:18" x14ac:dyDescent="0.2">
      <c r="G89" s="699"/>
      <c r="J89" s="699"/>
      <c r="O89" s="127"/>
    </row>
    <row r="90" spans="7:18" x14ac:dyDescent="0.2">
      <c r="G90" s="699"/>
      <c r="J90" s="699"/>
      <c r="O90" s="127"/>
    </row>
    <row r="91" spans="7:18" x14ac:dyDescent="0.2">
      <c r="G91" s="699"/>
      <c r="J91" s="699"/>
    </row>
    <row r="92" spans="7:18" x14ac:dyDescent="0.2">
      <c r="G92" s="699"/>
      <c r="J92" s="699"/>
    </row>
    <row r="93" spans="7:18" x14ac:dyDescent="0.2">
      <c r="G93" s="699"/>
      <c r="J93" s="699"/>
    </row>
    <row r="94" spans="7:18" x14ac:dyDescent="0.2">
      <c r="G94" s="699"/>
      <c r="J94" s="699"/>
    </row>
    <row r="95" spans="7:18" x14ac:dyDescent="0.2">
      <c r="G95" s="699"/>
      <c r="J95" s="699"/>
    </row>
    <row r="96" spans="7:18" x14ac:dyDescent="0.2">
      <c r="G96" s="699"/>
      <c r="J96" s="699"/>
    </row>
    <row r="97" spans="7:10" x14ac:dyDescent="0.2">
      <c r="G97" s="699"/>
      <c r="J97" s="699"/>
    </row>
    <row r="98" spans="7:10" x14ac:dyDescent="0.2">
      <c r="G98" s="699"/>
      <c r="J98" s="699"/>
    </row>
    <row r="99" spans="7:10" x14ac:dyDescent="0.2">
      <c r="G99" s="699"/>
      <c r="J99" s="699"/>
    </row>
    <row r="100" spans="7:10" x14ac:dyDescent="0.2">
      <c r="G100" s="699"/>
      <c r="J100" s="699"/>
    </row>
  </sheetData>
  <sheetProtection algorithmName="SHA-512" hashValue="JbJVxqgrAXITaXWCJY/9Eb/E5LQVPwUbiLsjUDcep4eUKU6V1Ac120NtNR5dvRnWDdgkNFnqi379QCQsOztP/Q==" saltValue="Ck3SA3iqHlvf9uQaTDLanw==" spinCount="100000" sheet="1" insertRows="0" selectLockedCells="1"/>
  <dataConsolidate/>
  <mergeCells count="17">
    <mergeCell ref="C3:P3"/>
    <mergeCell ref="C4:P4"/>
    <mergeCell ref="C40:P40"/>
    <mergeCell ref="C7:C8"/>
    <mergeCell ref="D7:D8"/>
    <mergeCell ref="E7:E8"/>
    <mergeCell ref="C5:P6"/>
    <mergeCell ref="F7:F8"/>
    <mergeCell ref="G7:G8"/>
    <mergeCell ref="H7:H8"/>
    <mergeCell ref="I7:I8"/>
    <mergeCell ref="J7:J8"/>
    <mergeCell ref="K7:K8"/>
    <mergeCell ref="L7:L8"/>
    <mergeCell ref="M7:M8"/>
    <mergeCell ref="N7:N8"/>
    <mergeCell ref="O7:P7"/>
  </mergeCells>
  <conditionalFormatting sqref="O42:O75">
    <cfRule type="cellIs" dxfId="3" priority="3" operator="equal">
      <formula>"N"</formula>
    </cfRule>
    <cfRule type="cellIs" dxfId="2" priority="4" operator="equal">
      <formula>"Y"</formula>
    </cfRule>
  </conditionalFormatting>
  <dataValidations count="5">
    <dataValidation type="list" allowBlank="1" showInputMessage="1" showErrorMessage="1" sqref="O81:O87 O39 P76:P77" xr:uid="{00000000-0002-0000-1100-000000000000}">
      <formula1>ListYN</formula1>
    </dataValidation>
    <dataValidation type="list" allowBlank="1" showInputMessage="1" showErrorMessage="1" sqref="J39 K76:K77 J78:J158" xr:uid="{00000000-0002-0000-1100-000001000000}">
      <formula1>ListExempt</formula1>
    </dataValidation>
    <dataValidation type="list" allowBlank="1" showInputMessage="1" showErrorMessage="1" sqref="K9:K38 I39 K41:K75 J76:J77 I78:I1048576" xr:uid="{00000000-0002-0000-1100-000002000000}">
      <formula1>ListOver8500</formula1>
    </dataValidation>
    <dataValidation allowBlank="1" showInputMessage="1" showErrorMessage="1" promptTitle="Keep blank" prompt="Do not enter any information here" sqref="C41:C75 P72:P75 L41:L75 Q41:Q75" xr:uid="{00000000-0002-0000-1100-000003000000}"/>
    <dataValidation type="list" allowBlank="1" showInputMessage="1" showErrorMessage="1" sqref="J9:J38 J42:J75" xr:uid="{00000000-0002-0000-1100-000004000000}">
      <formula1>ListDriveSystem</formula1>
    </dataValidation>
  </dataValidations>
  <hyperlinks>
    <hyperlink ref="L7" r:id="rId1" display="COMBINED MPG Rating (from fueleconomy.gov)" xr:uid="{00000000-0004-0000-1100-000000000000}"/>
  </hyperlinks>
  <pageMargins left="0.7" right="0.7" top="0.75" bottom="0.75" header="0.3" footer="0.3"/>
  <pageSetup orientation="landscape" r:id="rId2"/>
  <extLst>
    <ext xmlns:x14="http://schemas.microsoft.com/office/spreadsheetml/2009/9/main" uri="{78C0D931-6437-407d-A8EE-F0AAD7539E65}">
      <x14:conditionalFormattings>
        <x14:conditionalFormatting xmlns:xm="http://schemas.microsoft.com/office/excel/2006/main">
          <x14:cfRule type="containsText" priority="104" operator="containsText" id="{AA489425-5386-43B5-BE7A-F5455F79388F}">
            <xm:f>NOT(ISERROR(SEARCH("No",P9)))</xm:f>
            <xm:f>"No"</xm:f>
            <x14:dxf>
              <font>
                <color rgb="FF9C0006"/>
              </font>
              <fill>
                <patternFill>
                  <bgColor rgb="FFFFC7CE"/>
                </patternFill>
              </fill>
            </x14:dxf>
          </x14:cfRule>
          <x14:cfRule type="containsText" priority="105" operator="containsText" id="{3019DCE6-07F0-454B-BEA0-930CB19D2CFC}">
            <xm:f>NOT(ISERROR(SEARCH("Yes",P9)))</xm:f>
            <xm:f>"Yes"</xm:f>
            <x14:dxf>
              <font>
                <color rgb="FF006100"/>
              </font>
              <fill>
                <patternFill>
                  <bgColor rgb="FFC6EFCE"/>
                </patternFill>
              </fill>
            </x14:dxf>
          </x14:cfRule>
          <xm:sqref>P9:P38</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00000000-0002-0000-1100-000005000000}">
          <x14:formula1>
            <xm:f>'DOER reference'!$F$2:$F$3</xm:f>
          </x14:formula1>
          <xm:sqref>D42:D75</xm:sqref>
        </x14:dataValidation>
        <x14:dataValidation type="list" allowBlank="1" showInputMessage="1" showErrorMessage="1" xr:uid="{00000000-0002-0000-1100-000006000000}">
          <x14:formula1>
            <xm:f>'DOER reference'!$U$3:$U$7</xm:f>
          </x14:formula1>
          <xm:sqref>F15:F38 G9:G38 G42:G75</xm:sqref>
        </x14:dataValidation>
        <x14:dataValidation type="list" allowBlank="1" showInputMessage="1" showErrorMessage="1" xr:uid="{00000000-0002-0000-1100-000007000000}">
          <x14:formula1>
            <xm:f>'DOER reference'!$V$3:$V$5</xm:f>
          </x14:formula1>
          <xm:sqref>N9:N38 N42:N75</xm:sqref>
        </x14:dataValidation>
        <x14:dataValidation type="list" allowBlank="1" showInputMessage="1" showErrorMessage="1" xr:uid="{00000000-0002-0000-1100-000008000000}">
          <x14:formula1>
            <xm:f>'DOER reference'!$F$1:$F$4</xm:f>
          </x14:formula1>
          <xm:sqref>C9:C38</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3">
    <tabColor rgb="FFFFFF00"/>
  </sheetPr>
  <dimension ref="A1:W32"/>
  <sheetViews>
    <sheetView zoomScale="90" zoomScaleNormal="90" workbookViewId="0">
      <selection activeCell="C14" sqref="C14:I14"/>
    </sheetView>
  </sheetViews>
  <sheetFormatPr defaultColWidth="8.85546875" defaultRowHeight="12.75" x14ac:dyDescent="0.2"/>
  <cols>
    <col min="1" max="1" width="11.140625" customWidth="1"/>
    <col min="2" max="2" width="7.140625" customWidth="1"/>
    <col min="3" max="3" width="30.28515625" customWidth="1"/>
    <col min="4" max="4" width="22.42578125" customWidth="1"/>
    <col min="5" max="5" width="5.85546875" customWidth="1"/>
    <col min="6" max="6" width="16.5703125" hidden="1" customWidth="1"/>
    <col min="7" max="7" width="16.7109375" hidden="1" customWidth="1"/>
    <col min="8" max="8" width="8.85546875" customWidth="1"/>
    <col min="9" max="9" width="22.7109375" customWidth="1"/>
  </cols>
  <sheetData>
    <row r="1" spans="1:23" ht="33" customHeight="1" thickBot="1" x14ac:dyDescent="0.25">
      <c r="A1" s="385"/>
      <c r="B1" s="385"/>
      <c r="C1" s="385"/>
      <c r="D1" s="385"/>
      <c r="E1" s="385"/>
      <c r="F1" s="385"/>
      <c r="G1" s="385"/>
      <c r="H1" s="385"/>
      <c r="I1" s="385"/>
      <c r="J1" s="385"/>
      <c r="K1" s="385"/>
      <c r="L1" s="441"/>
      <c r="M1" s="441"/>
      <c r="N1" s="441"/>
      <c r="O1" s="441"/>
      <c r="P1" s="441"/>
      <c r="Q1" s="441"/>
      <c r="R1" s="441"/>
      <c r="S1" s="441"/>
      <c r="T1" s="441"/>
      <c r="U1" s="441"/>
      <c r="V1" s="441"/>
      <c r="W1" s="441"/>
    </row>
    <row r="2" spans="1:23" x14ac:dyDescent="0.2">
      <c r="A2" s="385"/>
      <c r="B2" s="375"/>
      <c r="C2" s="417"/>
      <c r="D2" s="417"/>
      <c r="E2" s="417"/>
      <c r="F2" s="417"/>
      <c r="G2" s="417"/>
      <c r="H2" s="417"/>
      <c r="I2" s="417"/>
      <c r="J2" s="376"/>
      <c r="K2" s="385"/>
      <c r="L2" s="441"/>
      <c r="M2" s="441"/>
      <c r="N2" s="441"/>
      <c r="O2" s="441"/>
      <c r="P2" s="441"/>
      <c r="Q2" s="441"/>
      <c r="R2" s="441"/>
      <c r="S2" s="441"/>
      <c r="T2" s="441"/>
      <c r="U2" s="441"/>
      <c r="V2" s="441"/>
      <c r="W2" s="441"/>
    </row>
    <row r="3" spans="1:23" ht="28.9" customHeight="1" x14ac:dyDescent="0.25">
      <c r="A3" s="385"/>
      <c r="B3" s="377"/>
      <c r="C3" s="1105" t="s">
        <v>431</v>
      </c>
      <c r="D3" s="1106"/>
      <c r="E3" s="1106"/>
      <c r="F3" s="1106"/>
      <c r="G3" s="1106"/>
      <c r="H3" s="1106"/>
      <c r="I3" s="1107"/>
      <c r="J3" s="378"/>
      <c r="K3" s="385"/>
      <c r="L3" s="441"/>
      <c r="M3" s="441"/>
      <c r="N3" s="441"/>
      <c r="O3" s="441"/>
      <c r="P3" s="441"/>
      <c r="Q3" s="441"/>
      <c r="R3" s="441"/>
      <c r="S3" s="441"/>
      <c r="T3" s="441"/>
      <c r="U3" s="441"/>
      <c r="V3" s="441"/>
      <c r="W3" s="441"/>
    </row>
    <row r="4" spans="1:23" ht="13.15" customHeight="1" thickBot="1" x14ac:dyDescent="0.3">
      <c r="A4" s="385"/>
      <c r="B4" s="377"/>
      <c r="C4" s="20"/>
      <c r="D4" s="372"/>
      <c r="E4" s="372"/>
      <c r="F4" s="372"/>
      <c r="G4" s="372"/>
      <c r="H4" s="372"/>
      <c r="I4" s="372"/>
      <c r="J4" s="378"/>
      <c r="K4" s="385"/>
      <c r="L4" s="441"/>
      <c r="M4" s="441"/>
      <c r="N4" s="441"/>
      <c r="O4" s="441"/>
      <c r="P4" s="441"/>
      <c r="Q4" s="441"/>
      <c r="R4" s="441"/>
      <c r="S4" s="441"/>
      <c r="T4" s="441"/>
      <c r="U4" s="441"/>
      <c r="V4" s="441"/>
      <c r="W4" s="441"/>
    </row>
    <row r="5" spans="1:23" ht="14.45" customHeight="1" thickBot="1" x14ac:dyDescent="0.25">
      <c r="A5" s="385"/>
      <c r="B5" s="377"/>
      <c r="C5" s="381" t="s">
        <v>97</v>
      </c>
      <c r="D5" s="380"/>
      <c r="E5" s="380"/>
      <c r="F5" s="20"/>
      <c r="G5" s="20"/>
      <c r="H5" s="379"/>
      <c r="I5" s="384" t="s">
        <v>407</v>
      </c>
      <c r="J5" s="378"/>
      <c r="K5" s="385"/>
      <c r="L5" s="441"/>
      <c r="M5" s="441"/>
      <c r="N5" s="441"/>
      <c r="O5" s="441"/>
      <c r="P5" s="441"/>
      <c r="Q5" s="441"/>
      <c r="R5" s="441"/>
      <c r="S5" s="441"/>
      <c r="T5" s="441"/>
      <c r="U5" s="441"/>
      <c r="V5" s="441"/>
      <c r="W5" s="441"/>
    </row>
    <row r="6" spans="1:23" ht="4.1500000000000004" customHeight="1" x14ac:dyDescent="0.2">
      <c r="A6" s="385"/>
      <c r="B6" s="377"/>
      <c r="C6" s="543"/>
      <c r="D6" s="543"/>
      <c r="E6" s="543"/>
      <c r="F6" s="543"/>
      <c r="G6" s="543"/>
      <c r="H6" s="379"/>
      <c r="I6" s="373"/>
      <c r="J6" s="378"/>
      <c r="K6" s="385"/>
      <c r="L6" s="441"/>
      <c r="M6" s="441"/>
      <c r="N6" s="441"/>
      <c r="O6" s="441"/>
      <c r="P6" s="441"/>
      <c r="Q6" s="441"/>
      <c r="R6" s="441"/>
      <c r="S6" s="441"/>
      <c r="T6" s="441"/>
      <c r="U6" s="441"/>
      <c r="V6" s="441"/>
      <c r="W6" s="441"/>
    </row>
    <row r="7" spans="1:23" ht="12.6" customHeight="1" thickBot="1" x14ac:dyDescent="0.25">
      <c r="A7" s="385"/>
      <c r="B7" s="377"/>
      <c r="C7" s="374"/>
      <c r="D7" s="374"/>
      <c r="E7" s="379"/>
      <c r="F7" s="379"/>
      <c r="G7" s="379"/>
      <c r="H7" s="379"/>
      <c r="I7" s="379"/>
      <c r="J7" s="378"/>
      <c r="K7" s="385"/>
      <c r="L7" s="380"/>
      <c r="M7" s="441"/>
      <c r="N7" s="441"/>
      <c r="O7" s="441"/>
      <c r="P7" s="441"/>
      <c r="Q7" s="441"/>
      <c r="R7" s="441"/>
      <c r="S7" s="441"/>
      <c r="T7" s="441"/>
      <c r="U7" s="441"/>
      <c r="V7" s="441"/>
      <c r="W7" s="441"/>
    </row>
    <row r="8" spans="1:23" ht="54" customHeight="1" thickBot="1" x14ac:dyDescent="0.25">
      <c r="A8" s="385"/>
      <c r="B8" s="377"/>
      <c r="C8" s="1108" t="s">
        <v>98</v>
      </c>
      <c r="D8" s="1108"/>
      <c r="E8" s="1108"/>
      <c r="F8" s="1108"/>
      <c r="G8" s="1108"/>
      <c r="H8" s="380"/>
      <c r="I8" s="384" t="s">
        <v>407</v>
      </c>
      <c r="J8" s="378"/>
      <c r="K8" s="385"/>
      <c r="L8" s="441"/>
      <c r="M8" s="441"/>
      <c r="N8" s="441"/>
      <c r="O8" s="441"/>
      <c r="P8" s="441"/>
      <c r="Q8" s="441"/>
      <c r="R8" s="441"/>
      <c r="S8" s="441"/>
      <c r="T8" s="441"/>
      <c r="U8" s="441"/>
      <c r="V8" s="441"/>
      <c r="W8" s="441"/>
    </row>
    <row r="9" spans="1:23" x14ac:dyDescent="0.2">
      <c r="A9" s="385"/>
      <c r="B9" s="377"/>
      <c r="C9" s="380"/>
      <c r="D9" s="380"/>
      <c r="E9" s="380"/>
      <c r="F9" s="380"/>
      <c r="G9" s="380"/>
      <c r="H9" s="380"/>
      <c r="I9" s="380"/>
      <c r="J9" s="378"/>
      <c r="K9" s="385"/>
      <c r="L9" s="441"/>
      <c r="M9" s="441"/>
      <c r="N9" s="441"/>
      <c r="O9" s="441"/>
      <c r="P9" s="441"/>
      <c r="Q9" s="441"/>
      <c r="R9" s="441"/>
      <c r="S9" s="441"/>
      <c r="T9" s="441"/>
      <c r="U9" s="441"/>
      <c r="V9" s="441"/>
      <c r="W9" s="441"/>
    </row>
    <row r="10" spans="1:23" ht="3.75" customHeight="1" thickBot="1" x14ac:dyDescent="0.25">
      <c r="A10" s="385"/>
      <c r="B10" s="377"/>
      <c r="C10" s="374"/>
      <c r="D10" s="374"/>
      <c r="E10" s="379"/>
      <c r="F10" s="379"/>
      <c r="G10" s="379"/>
      <c r="H10" s="379"/>
      <c r="I10" s="379"/>
      <c r="J10" s="378"/>
      <c r="K10" s="385"/>
      <c r="L10" s="380"/>
      <c r="M10" s="441"/>
      <c r="N10" s="441"/>
      <c r="O10" s="441"/>
      <c r="P10" s="441"/>
      <c r="Q10" s="441"/>
      <c r="R10" s="441"/>
      <c r="S10" s="441"/>
      <c r="T10" s="441"/>
      <c r="U10" s="441"/>
      <c r="V10" s="441"/>
      <c r="W10" s="441"/>
    </row>
    <row r="11" spans="1:23" ht="28.5" customHeight="1" thickBot="1" x14ac:dyDescent="0.25">
      <c r="A11" s="385"/>
      <c r="B11" s="377"/>
      <c r="C11" s="1109" t="s">
        <v>432</v>
      </c>
      <c r="D11" s="1109"/>
      <c r="E11" s="1109"/>
      <c r="F11" s="1109"/>
      <c r="G11" s="1109"/>
      <c r="H11" s="1109"/>
      <c r="I11" s="713">
        <v>0</v>
      </c>
      <c r="J11" s="378"/>
      <c r="K11" s="385"/>
      <c r="L11" s="441"/>
      <c r="M11" s="441"/>
      <c r="N11" s="441"/>
      <c r="O11" s="441"/>
      <c r="P11" s="441"/>
      <c r="Q11" s="441"/>
      <c r="R11" s="441"/>
      <c r="S11" s="441"/>
      <c r="T11" s="441"/>
      <c r="U11" s="441"/>
      <c r="V11" s="441"/>
      <c r="W11" s="441"/>
    </row>
    <row r="12" spans="1:23" ht="12.75" customHeight="1" x14ac:dyDescent="0.2">
      <c r="A12" s="385"/>
      <c r="B12" s="377"/>
      <c r="C12" s="473"/>
      <c r="D12" s="473"/>
      <c r="E12" s="473"/>
      <c r="F12" s="473"/>
      <c r="G12" s="473"/>
      <c r="H12" s="473"/>
      <c r="I12" s="474"/>
      <c r="J12" s="378"/>
      <c r="K12" s="385"/>
      <c r="L12" s="441"/>
      <c r="M12" s="441"/>
      <c r="N12" s="441"/>
      <c r="O12" s="441"/>
      <c r="P12" s="441"/>
      <c r="Q12" s="441"/>
      <c r="R12" s="441"/>
      <c r="S12" s="441"/>
      <c r="T12" s="441"/>
      <c r="U12" s="441"/>
      <c r="V12" s="441"/>
      <c r="W12" s="441"/>
    </row>
    <row r="13" spans="1:23" ht="57" customHeight="1" x14ac:dyDescent="0.2">
      <c r="A13" s="385"/>
      <c r="B13" s="377"/>
      <c r="C13" s="1110" t="s">
        <v>434</v>
      </c>
      <c r="D13" s="1110"/>
      <c r="E13" s="1110"/>
      <c r="F13" s="1110"/>
      <c r="G13" s="1110"/>
      <c r="H13" s="1110"/>
      <c r="I13" s="1110"/>
      <c r="J13" s="378"/>
      <c r="K13" s="385"/>
      <c r="L13" s="441"/>
      <c r="M13" s="441"/>
      <c r="N13" s="441"/>
      <c r="O13" s="441"/>
      <c r="P13" s="441"/>
      <c r="Q13" s="441"/>
      <c r="R13" s="441"/>
      <c r="S13" s="441"/>
      <c r="T13" s="441"/>
      <c r="U13" s="441"/>
      <c r="V13" s="441"/>
      <c r="W13" s="441"/>
    </row>
    <row r="14" spans="1:23" ht="68.25" customHeight="1" x14ac:dyDescent="0.2">
      <c r="A14" s="385"/>
      <c r="B14" s="377"/>
      <c r="C14" s="1111" t="s">
        <v>836</v>
      </c>
      <c r="D14" s="1112"/>
      <c r="E14" s="1112"/>
      <c r="F14" s="1112"/>
      <c r="G14" s="1112"/>
      <c r="H14" s="1112"/>
      <c r="I14" s="1113"/>
      <c r="J14" s="522"/>
      <c r="K14" s="385"/>
      <c r="L14" s="441"/>
      <c r="M14" s="441"/>
      <c r="N14" s="441"/>
      <c r="O14" s="441"/>
      <c r="P14" s="441"/>
      <c r="Q14" s="441"/>
      <c r="R14" s="441"/>
      <c r="S14" s="441"/>
      <c r="T14" s="441"/>
      <c r="U14" s="441"/>
      <c r="V14" s="441"/>
      <c r="W14" s="441"/>
    </row>
    <row r="15" spans="1:23" ht="9" customHeight="1" x14ac:dyDescent="0.2">
      <c r="A15" s="385"/>
      <c r="B15" s="377"/>
      <c r="C15" s="380"/>
      <c r="D15" s="380"/>
      <c r="E15" s="380"/>
      <c r="F15" s="380"/>
      <c r="G15" s="380"/>
      <c r="H15" s="380"/>
      <c r="I15" s="380"/>
      <c r="J15" s="378"/>
      <c r="K15" s="385"/>
      <c r="L15" s="441"/>
      <c r="M15" s="380"/>
      <c r="N15" s="441"/>
      <c r="O15" s="441"/>
      <c r="P15" s="441"/>
      <c r="Q15" s="441"/>
      <c r="R15" s="441"/>
      <c r="S15" s="441"/>
      <c r="T15" s="441"/>
      <c r="U15" s="441"/>
      <c r="V15" s="441"/>
      <c r="W15" s="441"/>
    </row>
    <row r="16" spans="1:23" ht="54.75" customHeight="1" x14ac:dyDescent="0.2">
      <c r="A16" s="385"/>
      <c r="B16" s="377"/>
      <c r="C16" s="1102" t="s">
        <v>435</v>
      </c>
      <c r="D16" s="1103"/>
      <c r="E16" s="1103"/>
      <c r="F16" s="1103"/>
      <c r="G16" s="1103"/>
      <c r="H16" s="1103"/>
      <c r="I16" s="1104"/>
      <c r="J16" s="378"/>
      <c r="K16" s="385"/>
      <c r="L16" s="380"/>
      <c r="M16" s="380"/>
      <c r="N16" s="380"/>
      <c r="O16" s="441"/>
      <c r="P16" s="441"/>
      <c r="Q16" s="441"/>
      <c r="R16" s="441"/>
      <c r="S16" s="441"/>
      <c r="T16" s="441"/>
      <c r="U16" s="441"/>
      <c r="V16" s="441"/>
      <c r="W16" s="441"/>
    </row>
    <row r="17" spans="1:23" ht="16.149999999999999" customHeight="1" thickBot="1" x14ac:dyDescent="0.25">
      <c r="A17" s="385"/>
      <c r="B17" s="382"/>
      <c r="C17" s="1101"/>
      <c r="D17" s="1101"/>
      <c r="E17" s="1101"/>
      <c r="F17" s="1101"/>
      <c r="G17" s="1101"/>
      <c r="H17" s="1101"/>
      <c r="I17" s="1101"/>
      <c r="J17" s="383"/>
      <c r="K17" s="385"/>
      <c r="L17" s="441"/>
      <c r="M17" s="380"/>
      <c r="N17" s="441"/>
      <c r="O17" s="441"/>
      <c r="P17" s="441"/>
      <c r="Q17" s="441"/>
      <c r="R17" s="441"/>
      <c r="S17" s="441"/>
      <c r="T17" s="441"/>
      <c r="U17" s="441"/>
      <c r="V17" s="441"/>
      <c r="W17" s="441"/>
    </row>
    <row r="18" spans="1:23" ht="78.599999999999994" customHeight="1" thickBot="1" x14ac:dyDescent="0.25">
      <c r="A18" s="386"/>
      <c r="B18" s="385"/>
      <c r="C18" s="477"/>
      <c r="D18" s="477"/>
      <c r="E18" s="477"/>
      <c r="F18" s="475"/>
      <c r="G18" s="475"/>
      <c r="H18" s="476"/>
      <c r="I18" s="476"/>
      <c r="J18" s="385"/>
      <c r="K18" s="386"/>
      <c r="L18" s="441"/>
      <c r="M18" s="441"/>
      <c r="N18" s="441"/>
      <c r="O18" s="441"/>
      <c r="P18" s="441"/>
      <c r="Q18" s="441"/>
      <c r="R18" s="441"/>
      <c r="S18" s="441"/>
      <c r="T18" s="441"/>
      <c r="U18" s="441"/>
      <c r="V18" s="441"/>
      <c r="W18" s="441"/>
    </row>
    <row r="19" spans="1:23" ht="16.899999999999999" customHeight="1" x14ac:dyDescent="0.2">
      <c r="A19" s="441"/>
      <c r="B19" s="441"/>
      <c r="C19" s="380"/>
      <c r="D19" s="441"/>
      <c r="E19" s="380"/>
      <c r="F19" s="441"/>
      <c r="G19" s="441"/>
      <c r="H19" s="380"/>
      <c r="I19" s="380"/>
      <c r="J19" s="441"/>
      <c r="K19" s="441"/>
      <c r="L19" s="441"/>
      <c r="M19" s="441"/>
      <c r="N19" s="441"/>
      <c r="O19" s="441"/>
      <c r="P19" s="441"/>
      <c r="Q19" s="441"/>
      <c r="R19" s="441"/>
      <c r="S19" s="441"/>
      <c r="T19" s="441"/>
      <c r="U19" s="441"/>
      <c r="V19" s="441"/>
      <c r="W19" s="441"/>
    </row>
    <row r="20" spans="1:23" ht="29.45" customHeight="1" x14ac:dyDescent="0.2">
      <c r="A20" s="441"/>
      <c r="B20" s="441"/>
      <c r="C20" s="441"/>
      <c r="D20" s="441"/>
      <c r="E20" s="441"/>
      <c r="F20" s="441"/>
      <c r="G20" s="441"/>
      <c r="H20" s="441"/>
      <c r="I20" s="441"/>
      <c r="J20" s="441"/>
      <c r="K20" s="441"/>
      <c r="L20" s="441"/>
      <c r="M20" s="441"/>
      <c r="N20" s="441"/>
      <c r="O20" s="441"/>
      <c r="P20" s="441"/>
      <c r="Q20" s="441"/>
      <c r="R20" s="441"/>
      <c r="S20" s="441"/>
      <c r="T20" s="441"/>
      <c r="U20" s="441"/>
      <c r="V20" s="441"/>
      <c r="W20" s="441"/>
    </row>
    <row r="21" spans="1:23" x14ac:dyDescent="0.2">
      <c r="A21" s="441"/>
      <c r="B21" s="441"/>
      <c r="C21" s="441"/>
      <c r="D21" s="441"/>
      <c r="E21" s="441"/>
      <c r="F21" s="441"/>
      <c r="G21" s="441"/>
      <c r="H21" s="441"/>
      <c r="I21" s="441"/>
      <c r="J21" s="441"/>
      <c r="K21" s="441"/>
      <c r="L21" s="441"/>
      <c r="M21" s="441"/>
      <c r="N21" s="441"/>
      <c r="O21" s="441"/>
      <c r="P21" s="441"/>
      <c r="Q21" s="441"/>
      <c r="R21" s="441"/>
      <c r="S21" s="441"/>
      <c r="T21" s="441"/>
      <c r="U21" s="441"/>
      <c r="V21" s="441"/>
      <c r="W21" s="441"/>
    </row>
    <row r="22" spans="1:23" x14ac:dyDescent="0.2">
      <c r="A22" s="441"/>
      <c r="B22" s="441"/>
      <c r="C22" s="441"/>
      <c r="D22" s="441"/>
      <c r="E22" s="441"/>
      <c r="F22" s="441"/>
      <c r="G22" s="441"/>
      <c r="H22" s="441"/>
      <c r="I22" s="441"/>
      <c r="J22" s="441"/>
      <c r="K22" s="441"/>
      <c r="L22" s="441"/>
      <c r="M22" s="441"/>
      <c r="N22" s="441"/>
      <c r="O22" s="441"/>
      <c r="P22" s="441"/>
      <c r="Q22" s="441"/>
      <c r="R22" s="441"/>
      <c r="S22" s="441"/>
      <c r="T22" s="441"/>
      <c r="U22" s="441"/>
      <c r="V22" s="441"/>
      <c r="W22" s="441"/>
    </row>
    <row r="23" spans="1:23" ht="13.9" customHeight="1" x14ac:dyDescent="0.2">
      <c r="A23" s="441"/>
      <c r="B23" s="441"/>
      <c r="C23" s="441"/>
      <c r="D23" s="441"/>
      <c r="E23" s="441"/>
      <c r="F23" s="441"/>
      <c r="G23" s="441"/>
      <c r="H23" s="441"/>
      <c r="I23" s="441"/>
      <c r="J23" s="441"/>
      <c r="K23" s="441"/>
      <c r="L23" s="441"/>
      <c r="M23" s="441"/>
      <c r="N23" s="441"/>
      <c r="O23" s="441"/>
      <c r="P23" s="441"/>
      <c r="Q23" s="441"/>
      <c r="R23" s="441"/>
      <c r="S23" s="441"/>
      <c r="T23" s="441"/>
      <c r="U23" s="441"/>
      <c r="V23" s="441"/>
      <c r="W23" s="441"/>
    </row>
    <row r="24" spans="1:23" x14ac:dyDescent="0.2">
      <c r="A24" s="441"/>
      <c r="B24" s="441"/>
      <c r="C24" s="441"/>
      <c r="D24" s="441"/>
      <c r="E24" s="441"/>
      <c r="F24" s="441"/>
      <c r="G24" s="441"/>
      <c r="H24" s="441"/>
      <c r="I24" s="441"/>
      <c r="J24" s="441"/>
      <c r="K24" s="441"/>
      <c r="L24" s="441"/>
      <c r="M24" s="441"/>
      <c r="N24" s="441"/>
      <c r="O24" s="441"/>
      <c r="P24" s="441"/>
      <c r="Q24" s="441"/>
      <c r="R24" s="441"/>
      <c r="S24" s="441"/>
      <c r="T24" s="441"/>
      <c r="U24" s="441"/>
      <c r="V24" s="441"/>
      <c r="W24" s="441"/>
    </row>
    <row r="25" spans="1:23" x14ac:dyDescent="0.2">
      <c r="A25" s="441"/>
      <c r="B25" s="441"/>
      <c r="C25" s="441"/>
      <c r="D25" s="441"/>
      <c r="E25" s="441"/>
      <c r="F25" s="441"/>
      <c r="G25" s="441"/>
      <c r="H25" s="441"/>
      <c r="I25" s="441"/>
      <c r="J25" s="441"/>
      <c r="K25" s="441"/>
      <c r="L25" s="441"/>
      <c r="M25" s="441"/>
      <c r="N25" s="441"/>
      <c r="O25" s="441"/>
      <c r="P25" s="441"/>
      <c r="Q25" s="441"/>
      <c r="R25" s="441"/>
      <c r="S25" s="441"/>
      <c r="T25" s="441"/>
      <c r="U25" s="441"/>
      <c r="V25" s="441"/>
      <c r="W25" s="441"/>
    </row>
    <row r="26" spans="1:23" x14ac:dyDescent="0.2">
      <c r="A26" s="441"/>
      <c r="B26" s="441"/>
      <c r="C26" s="441"/>
      <c r="D26" s="441"/>
      <c r="E26" s="441"/>
      <c r="F26" s="441"/>
      <c r="G26" s="441"/>
      <c r="H26" s="441"/>
      <c r="I26" s="441"/>
      <c r="J26" s="441"/>
      <c r="K26" s="441"/>
      <c r="L26" s="441"/>
      <c r="M26" s="441"/>
      <c r="N26" s="441"/>
      <c r="O26" s="441"/>
      <c r="P26" s="441"/>
      <c r="Q26" s="441"/>
      <c r="R26" s="441"/>
      <c r="S26" s="441"/>
      <c r="T26" s="441"/>
      <c r="U26" s="441"/>
      <c r="V26" s="441"/>
      <c r="W26" s="441"/>
    </row>
    <row r="27" spans="1:23" x14ac:dyDescent="0.2">
      <c r="A27" s="441"/>
      <c r="B27" s="441"/>
      <c r="C27" s="441"/>
      <c r="D27" s="441"/>
      <c r="E27" s="441"/>
      <c r="F27" s="441"/>
      <c r="G27" s="441"/>
      <c r="H27" s="441"/>
      <c r="I27" s="441"/>
      <c r="J27" s="441"/>
      <c r="K27" s="441"/>
      <c r="L27" s="441"/>
      <c r="M27" s="441"/>
      <c r="N27" s="441"/>
      <c r="O27" s="441"/>
      <c r="P27" s="441"/>
      <c r="Q27" s="441"/>
      <c r="R27" s="441"/>
      <c r="S27" s="441"/>
      <c r="T27" s="441"/>
      <c r="U27" s="441"/>
      <c r="V27" s="441"/>
      <c r="W27" s="441"/>
    </row>
    <row r="28" spans="1:23" x14ac:dyDescent="0.2">
      <c r="A28" s="441"/>
      <c r="B28" s="441"/>
      <c r="C28" s="441"/>
      <c r="D28" s="441"/>
      <c r="E28" s="441"/>
      <c r="F28" s="441"/>
      <c r="G28" s="441"/>
      <c r="H28" s="441"/>
      <c r="I28" s="441"/>
      <c r="J28" s="441"/>
      <c r="K28" s="441"/>
      <c r="L28" s="441"/>
      <c r="M28" s="441"/>
      <c r="N28" s="441"/>
      <c r="O28" s="441"/>
      <c r="P28" s="441"/>
      <c r="Q28" s="441"/>
      <c r="R28" s="441"/>
      <c r="S28" s="441"/>
      <c r="T28" s="441"/>
      <c r="U28" s="441"/>
      <c r="V28" s="441"/>
      <c r="W28" s="441"/>
    </row>
    <row r="29" spans="1:23" x14ac:dyDescent="0.2">
      <c r="A29" s="441"/>
      <c r="B29" s="441"/>
      <c r="C29" s="441"/>
      <c r="D29" s="441"/>
      <c r="E29" s="441"/>
      <c r="F29" s="441"/>
      <c r="G29" s="441"/>
      <c r="H29" s="441"/>
      <c r="I29" s="441"/>
      <c r="J29" s="441"/>
      <c r="K29" s="441"/>
      <c r="L29" s="441"/>
      <c r="M29" s="441"/>
      <c r="N29" s="441"/>
    </row>
    <row r="30" spans="1:23" ht="13.9" customHeight="1" x14ac:dyDescent="0.2">
      <c r="A30" s="441"/>
      <c r="B30" s="441"/>
      <c r="C30" s="441"/>
      <c r="D30" s="441"/>
      <c r="E30" s="441"/>
      <c r="F30" s="441"/>
      <c r="G30" s="441"/>
      <c r="H30" s="441"/>
      <c r="I30" s="441"/>
      <c r="J30" s="441"/>
      <c r="K30" s="441"/>
      <c r="L30" s="441"/>
      <c r="M30" s="441"/>
      <c r="N30" s="441"/>
    </row>
    <row r="31" spans="1:23" x14ac:dyDescent="0.2">
      <c r="A31" s="441"/>
      <c r="B31" s="441"/>
      <c r="C31" s="441"/>
      <c r="D31" s="441"/>
      <c r="E31" s="441"/>
      <c r="F31" s="441"/>
      <c r="G31" s="441"/>
      <c r="H31" s="441"/>
      <c r="I31" s="441"/>
      <c r="J31" s="441"/>
      <c r="K31" s="441"/>
      <c r="L31" s="441"/>
      <c r="M31" s="441"/>
    </row>
    <row r="32" spans="1:23" x14ac:dyDescent="0.2">
      <c r="A32" s="441"/>
      <c r="B32" s="441"/>
      <c r="C32" s="441"/>
      <c r="D32" s="441"/>
      <c r="E32" s="441"/>
      <c r="F32" s="441"/>
      <c r="G32" s="441"/>
      <c r="H32" s="441"/>
      <c r="I32" s="441"/>
      <c r="J32" s="441"/>
      <c r="K32" s="441"/>
      <c r="L32" s="441"/>
      <c r="M32" s="441"/>
    </row>
  </sheetData>
  <sheetProtection selectLockedCells="1"/>
  <mergeCells count="7">
    <mergeCell ref="C17:I17"/>
    <mergeCell ref="C16:I16"/>
    <mergeCell ref="C3:I3"/>
    <mergeCell ref="C8:G8"/>
    <mergeCell ref="C11:H11"/>
    <mergeCell ref="C13:I13"/>
    <mergeCell ref="C14:I14"/>
  </mergeCells>
  <dataValidations count="1">
    <dataValidation type="list" allowBlank="1" showInputMessage="1" showErrorMessage="1" sqref="I5:I6 I8" xr:uid="{00000000-0002-0000-1300-000000000000}">
      <formula1>ListYN</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Title="&lt;Select One&gt;" xr:uid="{00000000-0002-0000-1300-000001000000}">
          <x14:formula1>
            <xm:f>'DOER reference'!$D$13:$D$26</xm:f>
          </x14:formula1>
          <xm:sqref>I11:I12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4">
    <tabColor rgb="FFFFFF00"/>
    <pageSetUpPr fitToPage="1"/>
  </sheetPr>
  <dimension ref="A1:H29"/>
  <sheetViews>
    <sheetView showGridLines="0" zoomScaleNormal="100" workbookViewId="0">
      <selection activeCell="C14" sqref="C14:F19"/>
    </sheetView>
  </sheetViews>
  <sheetFormatPr defaultColWidth="0" defaultRowHeight="12.75" zeroHeight="1" x14ac:dyDescent="0.2"/>
  <cols>
    <col min="1" max="1" width="3.7109375" style="25" customWidth="1"/>
    <col min="2" max="2" width="4" style="25" customWidth="1"/>
    <col min="3" max="3" width="31.5703125" style="25" customWidth="1"/>
    <col min="4" max="4" width="28.42578125" style="25" customWidth="1"/>
    <col min="5" max="5" width="40.28515625" style="25" customWidth="1"/>
    <col min="6" max="6" width="21.28515625" style="25" customWidth="1"/>
    <col min="7" max="7" width="3.140625" style="25" customWidth="1"/>
    <col min="8" max="8" width="4.28515625" style="25" customWidth="1"/>
    <col min="9" max="16384" width="9.140625" style="25" hidden="1"/>
  </cols>
  <sheetData>
    <row r="1" spans="2:7" ht="13.5" thickBot="1" x14ac:dyDescent="0.25"/>
    <row r="2" spans="2:7" x14ac:dyDescent="0.2">
      <c r="B2" s="16"/>
      <c r="C2" s="17"/>
      <c r="D2" s="17"/>
      <c r="E2" s="17"/>
      <c r="F2" s="17"/>
      <c r="G2" s="18"/>
    </row>
    <row r="3" spans="2:7" ht="30" customHeight="1" x14ac:dyDescent="0.2">
      <c r="B3" s="19"/>
      <c r="C3" s="38" t="s">
        <v>436</v>
      </c>
      <c r="D3" s="20"/>
      <c r="E3" s="20"/>
      <c r="F3" s="20"/>
      <c r="G3" s="21"/>
    </row>
    <row r="4" spans="2:7" ht="9.75" customHeight="1" x14ac:dyDescent="0.2">
      <c r="B4" s="19"/>
      <c r="C4" s="38"/>
      <c r="D4" s="20"/>
      <c r="E4" s="20"/>
      <c r="F4" s="20"/>
      <c r="G4" s="21"/>
    </row>
    <row r="5" spans="2:7" ht="6" customHeight="1" x14ac:dyDescent="0.2">
      <c r="B5" s="19"/>
      <c r="C5" s="2"/>
      <c r="D5" s="2"/>
      <c r="E5" s="2"/>
      <c r="F5" s="2"/>
      <c r="G5" s="39"/>
    </row>
    <row r="6" spans="2:7" ht="57.75" customHeight="1" thickBot="1" x14ac:dyDescent="0.3">
      <c r="B6" s="19"/>
      <c r="C6" s="1114" t="s">
        <v>437</v>
      </c>
      <c r="D6" s="1114"/>
      <c r="E6" s="1114"/>
      <c r="F6" s="1114"/>
      <c r="G6" s="40"/>
    </row>
    <row r="7" spans="2:7" x14ac:dyDescent="0.2">
      <c r="B7" s="19"/>
      <c r="C7" s="1124"/>
      <c r="D7" s="1125"/>
      <c r="E7" s="1125"/>
      <c r="F7" s="1126"/>
      <c r="G7" s="41"/>
    </row>
    <row r="8" spans="2:7" ht="48.6" customHeight="1" x14ac:dyDescent="0.2">
      <c r="B8" s="19"/>
      <c r="C8" s="1127"/>
      <c r="D8" s="1128"/>
      <c r="E8" s="1128"/>
      <c r="F8" s="1129"/>
      <c r="G8" s="42"/>
    </row>
    <row r="9" spans="2:7" ht="15" customHeight="1" x14ac:dyDescent="0.2">
      <c r="B9" s="19"/>
      <c r="C9" s="1127"/>
      <c r="D9" s="1128"/>
      <c r="E9" s="1128"/>
      <c r="F9" s="1129"/>
      <c r="G9" s="42"/>
    </row>
    <row r="10" spans="2:7" x14ac:dyDescent="0.2">
      <c r="B10" s="19"/>
      <c r="C10" s="1127"/>
      <c r="D10" s="1128"/>
      <c r="E10" s="1128"/>
      <c r="F10" s="1129"/>
      <c r="G10" s="42"/>
    </row>
    <row r="11" spans="2:7" ht="13.5" thickBot="1" x14ac:dyDescent="0.25">
      <c r="B11" s="19"/>
      <c r="C11" s="1130"/>
      <c r="D11" s="1131"/>
      <c r="E11" s="1131"/>
      <c r="F11" s="1132"/>
      <c r="G11" s="42"/>
    </row>
    <row r="12" spans="2:7" x14ac:dyDescent="0.2">
      <c r="B12" s="19"/>
      <c r="C12" s="7"/>
      <c r="D12" s="7"/>
      <c r="E12" s="7"/>
      <c r="F12" s="7"/>
      <c r="G12" s="42"/>
    </row>
    <row r="13" spans="2:7" ht="56.25" customHeight="1" thickBot="1" x14ac:dyDescent="0.25">
      <c r="B13" s="19"/>
      <c r="C13" s="1133" t="s">
        <v>438</v>
      </c>
      <c r="D13" s="1133"/>
      <c r="E13" s="1133"/>
      <c r="F13" s="1133"/>
      <c r="G13" s="42"/>
    </row>
    <row r="14" spans="2:7" x14ac:dyDescent="0.2">
      <c r="B14" s="19"/>
      <c r="C14" s="1115" t="s">
        <v>848</v>
      </c>
      <c r="D14" s="1116"/>
      <c r="E14" s="1116"/>
      <c r="F14" s="1117"/>
      <c r="G14" s="42"/>
    </row>
    <row r="15" spans="2:7" ht="39" customHeight="1" x14ac:dyDescent="0.2">
      <c r="B15" s="19"/>
      <c r="C15" s="1118"/>
      <c r="D15" s="1119"/>
      <c r="E15" s="1119"/>
      <c r="F15" s="1120"/>
      <c r="G15" s="42"/>
    </row>
    <row r="16" spans="2:7" x14ac:dyDescent="0.2">
      <c r="B16" s="19"/>
      <c r="C16" s="1118"/>
      <c r="D16" s="1119"/>
      <c r="E16" s="1119"/>
      <c r="F16" s="1120"/>
      <c r="G16" s="42"/>
    </row>
    <row r="17" spans="2:7" x14ac:dyDescent="0.2">
      <c r="B17" s="19"/>
      <c r="C17" s="1118"/>
      <c r="D17" s="1119"/>
      <c r="E17" s="1119"/>
      <c r="F17" s="1120"/>
      <c r="G17" s="42"/>
    </row>
    <row r="18" spans="2:7" x14ac:dyDescent="0.2">
      <c r="B18" s="19"/>
      <c r="C18" s="1118"/>
      <c r="D18" s="1119"/>
      <c r="E18" s="1119"/>
      <c r="F18" s="1120"/>
      <c r="G18" s="42"/>
    </row>
    <row r="19" spans="2:7" ht="13.5" thickBot="1" x14ac:dyDescent="0.25">
      <c r="B19" s="19"/>
      <c r="C19" s="1121"/>
      <c r="D19" s="1122"/>
      <c r="E19" s="1122"/>
      <c r="F19" s="1123"/>
      <c r="G19" s="42"/>
    </row>
    <row r="20" spans="2:7" x14ac:dyDescent="0.2">
      <c r="B20" s="19"/>
      <c r="C20" s="479"/>
      <c r="D20" s="479"/>
      <c r="E20" s="480"/>
      <c r="F20" s="479"/>
      <c r="G20" s="42"/>
    </row>
    <row r="21" spans="2:7" x14ac:dyDescent="0.2">
      <c r="B21" s="19"/>
      <c r="C21" s="478"/>
      <c r="D21" s="478"/>
      <c r="E21" s="478"/>
      <c r="F21" s="478"/>
      <c r="G21" s="42"/>
    </row>
    <row r="22" spans="2:7" ht="13.5" thickBot="1" x14ac:dyDescent="0.25">
      <c r="B22" s="22"/>
      <c r="C22" s="481"/>
      <c r="D22" s="481"/>
      <c r="E22" s="481"/>
      <c r="F22" s="481"/>
      <c r="G22" s="43"/>
    </row>
    <row r="23" spans="2:7" x14ac:dyDescent="0.2">
      <c r="C23" s="44"/>
      <c r="D23" s="44"/>
      <c r="E23" s="44"/>
      <c r="F23" s="44"/>
      <c r="G23" s="44"/>
    </row>
    <row r="24" spans="2:7" hidden="1" x14ac:dyDescent="0.2">
      <c r="C24" s="44"/>
      <c r="D24" s="44"/>
      <c r="E24" s="44"/>
      <c r="F24" s="44"/>
      <c r="G24" s="44"/>
    </row>
    <row r="25" spans="2:7" hidden="1" x14ac:dyDescent="0.2">
      <c r="C25" s="44"/>
      <c r="D25" s="44"/>
      <c r="E25" s="44"/>
      <c r="F25" s="44"/>
      <c r="G25" s="44"/>
    </row>
    <row r="26" spans="2:7" hidden="1" x14ac:dyDescent="0.2">
      <c r="C26" s="44"/>
      <c r="D26" s="44"/>
      <c r="E26" s="44"/>
      <c r="F26" s="44"/>
      <c r="G26" s="44"/>
    </row>
    <row r="27" spans="2:7" hidden="1" x14ac:dyDescent="0.2">
      <c r="C27" s="44"/>
      <c r="D27" s="44"/>
      <c r="E27" s="44"/>
      <c r="F27" s="44"/>
      <c r="G27" s="44"/>
    </row>
    <row r="28" spans="2:7" hidden="1" x14ac:dyDescent="0.2">
      <c r="G28" s="44"/>
    </row>
    <row r="29" spans="2:7" hidden="1" x14ac:dyDescent="0.2">
      <c r="G29" s="44"/>
    </row>
  </sheetData>
  <sheetProtection algorithmName="SHA-512" hashValue="++8BmcoIbNnvb6/hCGWV4hG+qPJ8hkONCEJR8ztJNEd77KbR+kVT5XUXvqhgGlMmCuzS+E9VwG0ICBbtTLZWRg==" saltValue="3FVpSsqQ9qVNke6Eo589xg==" spinCount="100000" sheet="1" objects="1" scenarios="1" selectLockedCells="1"/>
  <mergeCells count="4">
    <mergeCell ref="C6:F6"/>
    <mergeCell ref="C14:F19"/>
    <mergeCell ref="C7:F11"/>
    <mergeCell ref="C13:F13"/>
  </mergeCells>
  <phoneticPr fontId="13" type="noConversion"/>
  <pageMargins left="0.75" right="0.75" top="1" bottom="1" header="0.5" footer="0.5"/>
  <pageSetup orientation="landscape" verticalDpi="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6"/>
  <dimension ref="A1:X32"/>
  <sheetViews>
    <sheetView workbookViewId="0">
      <selection activeCell="G22" sqref="G22"/>
    </sheetView>
  </sheetViews>
  <sheetFormatPr defaultRowHeight="12.75" x14ac:dyDescent="0.2"/>
  <cols>
    <col min="1" max="1" width="16.5703125" customWidth="1"/>
    <col min="2" max="2" width="9.140625" bestFit="1" customWidth="1"/>
    <col min="3" max="3" width="22.5703125" bestFit="1" customWidth="1"/>
    <col min="5" max="5" width="20.28515625" bestFit="1" customWidth="1"/>
    <col min="12" max="12" width="17.5703125" customWidth="1"/>
    <col min="13" max="13" width="15.140625" customWidth="1"/>
    <col min="14" max="14" width="13.140625" customWidth="1"/>
    <col min="15" max="15" width="14.140625" customWidth="1"/>
  </cols>
  <sheetData>
    <row r="1" spans="1:24" x14ac:dyDescent="0.2">
      <c r="A1" t="s">
        <v>395</v>
      </c>
      <c r="B1" s="1">
        <v>3</v>
      </c>
      <c r="C1" s="1" t="s">
        <v>439</v>
      </c>
      <c r="D1" s="1" t="s">
        <v>439</v>
      </c>
      <c r="E1" s="1" t="s">
        <v>439</v>
      </c>
      <c r="F1" s="1" t="s">
        <v>28</v>
      </c>
      <c r="G1" s="1" t="s">
        <v>193</v>
      </c>
      <c r="H1" s="1" t="s">
        <v>396</v>
      </c>
      <c r="I1" s="1" t="s">
        <v>395</v>
      </c>
      <c r="J1" s="1" t="s">
        <v>395</v>
      </c>
      <c r="K1" s="1" t="s">
        <v>395</v>
      </c>
      <c r="L1" s="1" t="s">
        <v>395</v>
      </c>
      <c r="M1" s="1" t="s">
        <v>395</v>
      </c>
      <c r="N1" t="s">
        <v>395</v>
      </c>
      <c r="O1" s="1" t="s">
        <v>440</v>
      </c>
      <c r="P1" s="1" t="s">
        <v>395</v>
      </c>
      <c r="U1" s="368" t="s">
        <v>94</v>
      </c>
      <c r="V1" s="368"/>
      <c r="W1" s="368"/>
      <c r="X1" s="368"/>
    </row>
    <row r="2" spans="1:24" x14ac:dyDescent="0.2">
      <c r="A2" t="s">
        <v>179</v>
      </c>
      <c r="B2" s="3">
        <v>40299</v>
      </c>
      <c r="C2" t="s">
        <v>441</v>
      </c>
      <c r="D2" s="1" t="s">
        <v>442</v>
      </c>
      <c r="E2" s="1" t="s">
        <v>443</v>
      </c>
      <c r="F2" s="1" t="s">
        <v>407</v>
      </c>
      <c r="G2" s="1" t="s">
        <v>466</v>
      </c>
      <c r="H2" s="1" t="s">
        <v>404</v>
      </c>
      <c r="I2" s="1" t="s">
        <v>401</v>
      </c>
      <c r="J2" s="1" t="s">
        <v>411</v>
      </c>
      <c r="K2" s="1" t="s">
        <v>444</v>
      </c>
      <c r="L2" t="s">
        <v>224</v>
      </c>
      <c r="M2" s="1" t="s">
        <v>178</v>
      </c>
      <c r="N2" t="s">
        <v>252</v>
      </c>
      <c r="O2" s="1" t="s">
        <v>444</v>
      </c>
      <c r="P2">
        <v>1</v>
      </c>
      <c r="U2" s="521" t="s">
        <v>445</v>
      </c>
      <c r="V2" s="521" t="s">
        <v>446</v>
      </c>
      <c r="W2" s="521"/>
      <c r="X2" s="521"/>
    </row>
    <row r="3" spans="1:24" x14ac:dyDescent="0.2">
      <c r="A3" t="s">
        <v>180</v>
      </c>
      <c r="B3" s="3">
        <v>40513</v>
      </c>
      <c r="C3" t="s">
        <v>447</v>
      </c>
      <c r="D3" s="1" t="s">
        <v>448</v>
      </c>
      <c r="E3" s="1" t="s">
        <v>449</v>
      </c>
      <c r="F3" s="1" t="s">
        <v>450</v>
      </c>
      <c r="G3" s="1" t="s">
        <v>468</v>
      </c>
      <c r="H3" s="1" t="s">
        <v>415</v>
      </c>
      <c r="I3" s="1" t="s">
        <v>400</v>
      </c>
      <c r="J3" s="1" t="s">
        <v>405</v>
      </c>
      <c r="K3" s="1" t="s">
        <v>451</v>
      </c>
      <c r="L3" t="s">
        <v>226</v>
      </c>
      <c r="M3" s="1" t="s">
        <v>179</v>
      </c>
      <c r="N3" t="s">
        <v>254</v>
      </c>
      <c r="O3" s="1" t="s">
        <v>452</v>
      </c>
      <c r="P3">
        <v>2</v>
      </c>
      <c r="U3" t="s">
        <v>395</v>
      </c>
      <c r="V3" t="s">
        <v>395</v>
      </c>
    </row>
    <row r="4" spans="1:24" x14ac:dyDescent="0.2">
      <c r="A4" t="s">
        <v>181</v>
      </c>
      <c r="B4" s="3">
        <v>40725</v>
      </c>
      <c r="C4" t="s">
        <v>453</v>
      </c>
      <c r="E4" s="1" t="s">
        <v>454</v>
      </c>
      <c r="F4" s="1" t="s">
        <v>421</v>
      </c>
      <c r="G4" s="1" t="s">
        <v>469</v>
      </c>
      <c r="H4" s="1" t="s">
        <v>410</v>
      </c>
      <c r="I4" s="1" t="s">
        <v>455</v>
      </c>
      <c r="K4" s="1" t="s">
        <v>452</v>
      </c>
      <c r="L4" t="s">
        <v>304</v>
      </c>
      <c r="M4" s="1" t="s">
        <v>180</v>
      </c>
      <c r="N4" t="s">
        <v>256</v>
      </c>
      <c r="P4">
        <v>3</v>
      </c>
      <c r="U4" t="s">
        <v>456</v>
      </c>
      <c r="V4" t="s">
        <v>401</v>
      </c>
      <c r="W4" t="str">
        <f>U4&amp;H2</f>
        <v>Car2WD</v>
      </c>
      <c r="X4">
        <v>29</v>
      </c>
    </row>
    <row r="5" spans="1:24" x14ac:dyDescent="0.2">
      <c r="A5" t="s">
        <v>182</v>
      </c>
      <c r="B5" s="3">
        <v>40878</v>
      </c>
      <c r="C5" t="s">
        <v>457</v>
      </c>
      <c r="G5" s="1" t="s">
        <v>485</v>
      </c>
      <c r="L5" t="s">
        <v>230</v>
      </c>
      <c r="M5" s="1" t="s">
        <v>181</v>
      </c>
      <c r="N5" t="s">
        <v>258</v>
      </c>
      <c r="P5">
        <v>4</v>
      </c>
      <c r="U5" t="s">
        <v>458</v>
      </c>
      <c r="V5" t="s">
        <v>400</v>
      </c>
      <c r="W5" t="str">
        <f>U4&amp;H3</f>
        <v>Car4WD</v>
      </c>
      <c r="X5">
        <v>24</v>
      </c>
    </row>
    <row r="6" spans="1:24" x14ac:dyDescent="0.2">
      <c r="A6" t="s">
        <v>183</v>
      </c>
      <c r="B6" s="3">
        <v>41091</v>
      </c>
      <c r="C6" t="s">
        <v>459</v>
      </c>
      <c r="G6" s="1" t="s">
        <v>488</v>
      </c>
      <c r="L6" t="s">
        <v>232</v>
      </c>
      <c r="M6" s="1" t="s">
        <v>182</v>
      </c>
      <c r="P6">
        <v>5</v>
      </c>
      <c r="U6" t="s">
        <v>460</v>
      </c>
      <c r="W6" t="str">
        <f>U4&amp;H4</f>
        <v>CarAWD</v>
      </c>
      <c r="X6">
        <v>24</v>
      </c>
    </row>
    <row r="7" spans="1:24" x14ac:dyDescent="0.2">
      <c r="B7" s="3">
        <v>41244</v>
      </c>
      <c r="C7" t="s">
        <v>461</v>
      </c>
      <c r="G7" s="1" t="s">
        <v>491</v>
      </c>
      <c r="L7" s="1" t="s">
        <v>234</v>
      </c>
      <c r="M7" s="1" t="s">
        <v>183</v>
      </c>
      <c r="P7">
        <v>6</v>
      </c>
      <c r="U7" t="s">
        <v>462</v>
      </c>
      <c r="W7" t="str">
        <f>U5&amp;H2</f>
        <v>Minivan or Van2WD</v>
      </c>
      <c r="X7">
        <v>20</v>
      </c>
    </row>
    <row r="8" spans="1:24" x14ac:dyDescent="0.2">
      <c r="B8" s="3">
        <v>41609</v>
      </c>
      <c r="C8" t="s">
        <v>463</v>
      </c>
      <c r="G8" s="1" t="s">
        <v>494</v>
      </c>
      <c r="L8" t="s">
        <v>236</v>
      </c>
      <c r="P8">
        <v>7</v>
      </c>
      <c r="U8" t="s">
        <v>249</v>
      </c>
      <c r="W8" t="str">
        <f>U5&amp;H3</f>
        <v>Minivan or Van4WD</v>
      </c>
      <c r="X8" s="1">
        <v>18</v>
      </c>
    </row>
    <row r="9" spans="1:24" x14ac:dyDescent="0.2">
      <c r="B9" s="3">
        <v>41974</v>
      </c>
      <c r="G9" s="1"/>
      <c r="L9" t="s">
        <v>238</v>
      </c>
      <c r="P9">
        <v>8</v>
      </c>
      <c r="W9" t="str">
        <f>U5&amp;H4</f>
        <v>Minivan or VanAWD</v>
      </c>
      <c r="X9" s="1">
        <v>18</v>
      </c>
    </row>
    <row r="10" spans="1:24" x14ac:dyDescent="0.2">
      <c r="B10" s="3">
        <v>42339</v>
      </c>
      <c r="E10" s="1" t="s">
        <v>464</v>
      </c>
      <c r="L10" t="s">
        <v>240</v>
      </c>
      <c r="P10">
        <v>9</v>
      </c>
      <c r="W10" t="str">
        <f>U6&amp;H2</f>
        <v>Pickup Truck2WD</v>
      </c>
      <c r="X10" s="1">
        <v>17</v>
      </c>
    </row>
    <row r="11" spans="1:24" x14ac:dyDescent="0.2">
      <c r="B11" s="3">
        <v>42767</v>
      </c>
      <c r="E11" s="1" t="s">
        <v>465</v>
      </c>
      <c r="L11" t="s">
        <v>242</v>
      </c>
      <c r="P11">
        <v>10</v>
      </c>
      <c r="W11" t="str">
        <f>U6&amp;H3</f>
        <v>Pickup Truck4WD</v>
      </c>
      <c r="X11" s="1">
        <v>16</v>
      </c>
    </row>
    <row r="12" spans="1:24" x14ac:dyDescent="0.2">
      <c r="B12" s="3">
        <v>43070</v>
      </c>
      <c r="E12" s="1" t="s">
        <v>125</v>
      </c>
      <c r="G12" s="1"/>
      <c r="L12" t="s">
        <v>182</v>
      </c>
      <c r="P12">
        <v>11</v>
      </c>
      <c r="W12" t="str">
        <f>U6&amp;H4</f>
        <v>Pickup TruckAWD</v>
      </c>
      <c r="X12" s="1">
        <v>16</v>
      </c>
    </row>
    <row r="13" spans="1:24" x14ac:dyDescent="0.2">
      <c r="B13" s="3">
        <v>43435</v>
      </c>
      <c r="D13" s="1" t="s">
        <v>433</v>
      </c>
      <c r="E13" s="1" t="s">
        <v>467</v>
      </c>
      <c r="G13" s="1"/>
      <c r="L13" t="s">
        <v>245</v>
      </c>
      <c r="P13">
        <v>12</v>
      </c>
      <c r="W13" t="str">
        <f>U7&amp;H2</f>
        <v>Sport Utility Vehicle or SUV2WD</v>
      </c>
      <c r="X13" s="1">
        <v>21</v>
      </c>
    </row>
    <row r="14" spans="1:24" x14ac:dyDescent="0.2">
      <c r="B14" s="3"/>
      <c r="D14" s="443">
        <v>0</v>
      </c>
      <c r="G14" s="1"/>
      <c r="L14" t="s">
        <v>247</v>
      </c>
      <c r="W14" t="str">
        <f>U7&amp;H3</f>
        <v>Sport Utility Vehicle or SUV4WD</v>
      </c>
      <c r="X14" s="1">
        <v>18</v>
      </c>
    </row>
    <row r="15" spans="1:24" x14ac:dyDescent="0.2">
      <c r="B15" s="3"/>
      <c r="D15" s="443">
        <v>1</v>
      </c>
      <c r="L15" t="s">
        <v>249</v>
      </c>
      <c r="W15" t="str">
        <f>U7&amp;H4</f>
        <v>Sport Utility Vehicle or SUVAWD</v>
      </c>
      <c r="X15" s="1">
        <v>18</v>
      </c>
    </row>
    <row r="16" spans="1:24" x14ac:dyDescent="0.2">
      <c r="D16" s="443">
        <f>D15+1</f>
        <v>2</v>
      </c>
    </row>
    <row r="17" spans="1:19" x14ac:dyDescent="0.2">
      <c r="D17" s="443">
        <f t="shared" ref="D17:D26" si="0">D16+1</f>
        <v>3</v>
      </c>
    </row>
    <row r="18" spans="1:19" x14ac:dyDescent="0.2">
      <c r="A18" s="1" t="s">
        <v>470</v>
      </c>
      <c r="D18" s="443">
        <f t="shared" si="0"/>
        <v>4</v>
      </c>
    </row>
    <row r="19" spans="1:19" x14ac:dyDescent="0.2">
      <c r="A19" s="1" t="s">
        <v>471</v>
      </c>
      <c r="D19" s="443">
        <f t="shared" si="0"/>
        <v>5</v>
      </c>
      <c r="J19" s="368" t="s">
        <v>472</v>
      </c>
      <c r="L19" s="368" t="s">
        <v>473</v>
      </c>
      <c r="N19" s="368" t="s">
        <v>474</v>
      </c>
      <c r="P19" s="368" t="s">
        <v>475</v>
      </c>
      <c r="S19" s="368" t="s">
        <v>476</v>
      </c>
    </row>
    <row r="20" spans="1:19" x14ac:dyDescent="0.2">
      <c r="D20" s="443">
        <f t="shared" si="0"/>
        <v>6</v>
      </c>
      <c r="J20" s="1" t="s">
        <v>372</v>
      </c>
      <c r="L20" s="1" t="s">
        <v>373</v>
      </c>
      <c r="N20" s="1" t="s">
        <v>401</v>
      </c>
      <c r="P20" s="1" t="s">
        <v>374</v>
      </c>
      <c r="S20" s="1" t="s">
        <v>252</v>
      </c>
    </row>
    <row r="21" spans="1:19" x14ac:dyDescent="0.2">
      <c r="A21" s="1" t="s">
        <v>477</v>
      </c>
      <c r="D21" s="443">
        <f t="shared" si="0"/>
        <v>7</v>
      </c>
      <c r="J21" s="1" t="s">
        <v>478</v>
      </c>
      <c r="L21" s="1" t="s">
        <v>210</v>
      </c>
      <c r="N21" s="1" t="s">
        <v>400</v>
      </c>
      <c r="P21" s="1" t="s">
        <v>479</v>
      </c>
      <c r="S21" s="1" t="s">
        <v>254</v>
      </c>
    </row>
    <row r="22" spans="1:19" x14ac:dyDescent="0.2">
      <c r="D22" s="443">
        <f t="shared" si="0"/>
        <v>8</v>
      </c>
      <c r="J22" s="1" t="s">
        <v>480</v>
      </c>
      <c r="L22" s="1" t="s">
        <v>481</v>
      </c>
      <c r="N22" s="1"/>
      <c r="P22" s="1"/>
      <c r="S22" s="1" t="s">
        <v>256</v>
      </c>
    </row>
    <row r="23" spans="1:19" x14ac:dyDescent="0.2">
      <c r="A23" s="1" t="s">
        <v>482</v>
      </c>
      <c r="D23" s="443">
        <f t="shared" si="0"/>
        <v>9</v>
      </c>
      <c r="J23" s="1" t="s">
        <v>483</v>
      </c>
      <c r="L23" s="1" t="s">
        <v>484</v>
      </c>
      <c r="N23" s="1" t="s">
        <v>249</v>
      </c>
      <c r="P23" s="1" t="s">
        <v>400</v>
      </c>
      <c r="S23" s="1" t="s">
        <v>258</v>
      </c>
    </row>
    <row r="24" spans="1:19" x14ac:dyDescent="0.2">
      <c r="D24" s="443">
        <f t="shared" si="0"/>
        <v>10</v>
      </c>
      <c r="J24" s="1" t="s">
        <v>486</v>
      </c>
      <c r="L24" s="1" t="s">
        <v>487</v>
      </c>
      <c r="N24" s="1"/>
      <c r="P24" s="1" t="s">
        <v>249</v>
      </c>
    </row>
    <row r="25" spans="1:19" x14ac:dyDescent="0.2">
      <c r="D25" s="443">
        <f t="shared" si="0"/>
        <v>11</v>
      </c>
      <c r="J25" s="1" t="s">
        <v>489</v>
      </c>
      <c r="L25" s="1" t="s">
        <v>490</v>
      </c>
      <c r="N25" s="1"/>
    </row>
    <row r="26" spans="1:19" x14ac:dyDescent="0.2">
      <c r="D26" s="443">
        <f t="shared" si="0"/>
        <v>12</v>
      </c>
      <c r="J26" s="1" t="s">
        <v>492</v>
      </c>
      <c r="L26" s="1" t="s">
        <v>493</v>
      </c>
      <c r="N26" s="1"/>
    </row>
    <row r="27" spans="1:19" x14ac:dyDescent="0.2">
      <c r="D27" s="443"/>
      <c r="J27" s="1" t="s">
        <v>495</v>
      </c>
      <c r="L27" s="1" t="s">
        <v>496</v>
      </c>
      <c r="N27" s="1"/>
    </row>
    <row r="28" spans="1:19" x14ac:dyDescent="0.2">
      <c r="D28" s="443"/>
      <c r="J28" s="1" t="s">
        <v>497</v>
      </c>
      <c r="L28" s="1" t="s">
        <v>249</v>
      </c>
    </row>
    <row r="29" spans="1:19" x14ac:dyDescent="0.2">
      <c r="D29" s="443"/>
      <c r="J29" s="1" t="s">
        <v>249</v>
      </c>
    </row>
    <row r="30" spans="1:19" x14ac:dyDescent="0.2">
      <c r="D30" s="443"/>
    </row>
    <row r="31" spans="1:19" x14ac:dyDescent="0.2">
      <c r="D31" s="443"/>
    </row>
    <row r="32" spans="1:19" x14ac:dyDescent="0.2">
      <c r="D32" s="443"/>
    </row>
  </sheetData>
  <phoneticPr fontId="0" type="noConversion"/>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18"/>
  <dimension ref="A2:J122"/>
  <sheetViews>
    <sheetView topLeftCell="A97" workbookViewId="0">
      <selection activeCell="F135" sqref="F135"/>
    </sheetView>
  </sheetViews>
  <sheetFormatPr defaultColWidth="22.85546875" defaultRowHeight="15" x14ac:dyDescent="0.25"/>
  <cols>
    <col min="1" max="1" width="54.7109375" style="150" customWidth="1"/>
    <col min="2" max="3" width="41.140625" style="150" bestFit="1" customWidth="1"/>
    <col min="4" max="4" width="15.5703125" style="150" bestFit="1" customWidth="1"/>
    <col min="5" max="5" width="32.42578125" style="52" bestFit="1" customWidth="1"/>
    <col min="6" max="6" width="57.7109375" style="150" customWidth="1"/>
    <col min="7" max="7" width="72.5703125" style="150" customWidth="1"/>
    <col min="8" max="8" width="22.140625" style="150" bestFit="1" customWidth="1"/>
    <col min="9" max="9" width="106.28515625" style="155" bestFit="1" customWidth="1"/>
    <col min="10" max="16384" width="22.85546875" style="150"/>
  </cols>
  <sheetData>
    <row r="2" spans="1:9" x14ac:dyDescent="0.25">
      <c r="A2" s="1" t="s">
        <v>498</v>
      </c>
      <c r="B2"/>
    </row>
    <row r="3" spans="1:9" x14ac:dyDescent="0.25">
      <c r="A3"/>
      <c r="B3"/>
    </row>
    <row r="4" spans="1:9" x14ac:dyDescent="0.25">
      <c r="A4"/>
      <c r="B4"/>
    </row>
    <row r="5" spans="1:9" x14ac:dyDescent="0.25">
      <c r="A5">
        <v>3.4120000000000001E-3</v>
      </c>
      <c r="B5" s="1" t="s">
        <v>499</v>
      </c>
    </row>
    <row r="6" spans="1:9" x14ac:dyDescent="0.25">
      <c r="A6">
        <v>0.1</v>
      </c>
      <c r="B6" s="1" t="s">
        <v>500</v>
      </c>
    </row>
    <row r="7" spans="1:9" x14ac:dyDescent="0.25">
      <c r="A7">
        <v>0.13900000000000001</v>
      </c>
      <c r="B7" s="1" t="s">
        <v>501</v>
      </c>
    </row>
    <row r="8" spans="1:9" x14ac:dyDescent="0.25">
      <c r="A8">
        <v>9.0999999999999998E-2</v>
      </c>
      <c r="B8" s="1" t="s">
        <v>502</v>
      </c>
    </row>
    <row r="9" spans="1:9" x14ac:dyDescent="0.25">
      <c r="A9">
        <v>0.124</v>
      </c>
      <c r="B9" s="1" t="s">
        <v>503</v>
      </c>
    </row>
    <row r="10" spans="1:9" x14ac:dyDescent="0.25">
      <c r="A10">
        <v>0.13900000000000001</v>
      </c>
      <c r="B10" s="1" t="s">
        <v>504</v>
      </c>
    </row>
    <row r="12" spans="1:9" ht="36" x14ac:dyDescent="0.25">
      <c r="A12" s="1150" t="s">
        <v>505</v>
      </c>
      <c r="B12" s="1151"/>
      <c r="C12" s="1151"/>
      <c r="D12" s="1151"/>
      <c r="E12" s="1151"/>
      <c r="F12" s="1151"/>
      <c r="G12" s="1152"/>
      <c r="H12" s="1153" t="s">
        <v>506</v>
      </c>
      <c r="I12" s="1154"/>
    </row>
    <row r="13" spans="1:9" s="151" customFormat="1" ht="45" x14ac:dyDescent="0.2">
      <c r="A13" s="581" t="s">
        <v>507</v>
      </c>
      <c r="B13" s="581" t="s">
        <v>508</v>
      </c>
      <c r="C13" s="581" t="s">
        <v>509</v>
      </c>
      <c r="D13" s="582" t="s">
        <v>510</v>
      </c>
      <c r="E13" s="582" t="s">
        <v>511</v>
      </c>
      <c r="F13" s="582" t="s">
        <v>512</v>
      </c>
      <c r="G13" s="582" t="s">
        <v>513</v>
      </c>
      <c r="H13" s="583" t="s">
        <v>514</v>
      </c>
      <c r="I13" s="584" t="s">
        <v>515</v>
      </c>
    </row>
    <row r="14" spans="1:9" x14ac:dyDescent="0.25">
      <c r="A14" s="585" t="s">
        <v>516</v>
      </c>
      <c r="B14" s="586" t="s">
        <v>517</v>
      </c>
      <c r="C14" s="586" t="s">
        <v>517</v>
      </c>
      <c r="D14" s="587">
        <v>1.1892473118279598</v>
      </c>
      <c r="E14" s="50">
        <f t="shared" ref="E14:E49" si="0">D14/$B$121</f>
        <v>5.3934118450247616E-4</v>
      </c>
      <c r="F14" s="546" t="s">
        <v>518</v>
      </c>
      <c r="G14" s="152"/>
      <c r="H14" s="588">
        <v>3.4119999999999999</v>
      </c>
      <c r="I14" s="546" t="s">
        <v>519</v>
      </c>
    </row>
    <row r="15" spans="1:9" x14ac:dyDescent="0.25">
      <c r="A15" s="585" t="s">
        <v>520</v>
      </c>
      <c r="B15" s="586" t="s">
        <v>517</v>
      </c>
      <c r="C15" s="586" t="s">
        <v>517</v>
      </c>
      <c r="D15" s="587">
        <v>1.1989247311828002</v>
      </c>
      <c r="E15" s="50">
        <f t="shared" si="0"/>
        <v>5.4373003681759647E-4</v>
      </c>
      <c r="F15" s="546" t="s">
        <v>518</v>
      </c>
      <c r="G15" s="152"/>
      <c r="H15" s="588">
        <v>3.4119999999999999</v>
      </c>
      <c r="I15" s="546" t="s">
        <v>519</v>
      </c>
    </row>
    <row r="16" spans="1:9" x14ac:dyDescent="0.25">
      <c r="A16" s="585" t="s">
        <v>521</v>
      </c>
      <c r="B16" s="586" t="s">
        <v>517</v>
      </c>
      <c r="C16" s="586" t="s">
        <v>517</v>
      </c>
      <c r="D16" s="587">
        <v>1.2505376344086001</v>
      </c>
      <c r="E16" s="50">
        <f t="shared" si="0"/>
        <v>5.6713724916489803E-4</v>
      </c>
      <c r="F16" s="546" t="s">
        <v>518</v>
      </c>
      <c r="G16" s="152"/>
      <c r="H16" s="588">
        <v>3.4119999999999999</v>
      </c>
      <c r="I16" s="546" t="s">
        <v>519</v>
      </c>
    </row>
    <row r="17" spans="1:9" x14ac:dyDescent="0.25">
      <c r="A17" s="585" t="s">
        <v>522</v>
      </c>
      <c r="B17" s="586" t="s">
        <v>517</v>
      </c>
      <c r="C17" s="586" t="s">
        <v>517</v>
      </c>
      <c r="D17" s="587">
        <v>1.21827956989247</v>
      </c>
      <c r="E17" s="50">
        <f t="shared" si="0"/>
        <v>5.5250774144783221E-4</v>
      </c>
      <c r="F17" s="546" t="s">
        <v>518</v>
      </c>
      <c r="G17" s="152"/>
      <c r="H17" s="588">
        <v>3.4119999999999999</v>
      </c>
      <c r="I17" s="546" t="s">
        <v>519</v>
      </c>
    </row>
    <row r="18" spans="1:9" x14ac:dyDescent="0.25">
      <c r="A18" s="585" t="s">
        <v>523</v>
      </c>
      <c r="B18" s="586" t="s">
        <v>517</v>
      </c>
      <c r="C18" s="586" t="s">
        <v>517</v>
      </c>
      <c r="D18" s="587">
        <v>1.2193429611670001</v>
      </c>
      <c r="E18" s="50">
        <f t="shared" si="0"/>
        <v>5.5299000506439915E-4</v>
      </c>
      <c r="F18" s="546" t="s">
        <v>518</v>
      </c>
      <c r="G18" s="152"/>
      <c r="H18" s="588">
        <v>3.4119999999999999</v>
      </c>
      <c r="I18" s="546" t="s">
        <v>519</v>
      </c>
    </row>
    <row r="19" spans="1:9" x14ac:dyDescent="0.25">
      <c r="A19" s="585" t="s">
        <v>524</v>
      </c>
      <c r="B19" s="586" t="s">
        <v>517</v>
      </c>
      <c r="C19" s="586" t="s">
        <v>517</v>
      </c>
      <c r="D19" s="587">
        <v>1.0848087291281099</v>
      </c>
      <c r="E19" s="50">
        <f t="shared" si="0"/>
        <v>4.9197674790390469E-4</v>
      </c>
      <c r="F19" s="546" t="s">
        <v>518</v>
      </c>
      <c r="G19" s="152"/>
      <c r="H19" s="588">
        <v>3.4119999999999999</v>
      </c>
      <c r="I19" s="546" t="s">
        <v>519</v>
      </c>
    </row>
    <row r="20" spans="1:9" x14ac:dyDescent="0.25">
      <c r="A20" s="585" t="s">
        <v>525</v>
      </c>
      <c r="B20" s="586" t="s">
        <v>517</v>
      </c>
      <c r="C20" s="586" t="s">
        <v>517</v>
      </c>
      <c r="D20" s="587">
        <v>1.1080456135852101</v>
      </c>
      <c r="E20" s="50">
        <f t="shared" si="0"/>
        <v>5.0251501749896152E-4</v>
      </c>
      <c r="F20" s="546" t="s">
        <v>518</v>
      </c>
      <c r="G20" s="152"/>
      <c r="H20" s="588">
        <v>3.4119999999999999</v>
      </c>
      <c r="I20" s="546" t="s">
        <v>519</v>
      </c>
    </row>
    <row r="21" spans="1:9" x14ac:dyDescent="0.25">
      <c r="A21" s="585" t="s">
        <v>526</v>
      </c>
      <c r="B21" s="586" t="s">
        <v>517</v>
      </c>
      <c r="C21" s="586" t="s">
        <v>517</v>
      </c>
      <c r="D21" s="587">
        <v>1.02241996662775</v>
      </c>
      <c r="E21" s="50">
        <f t="shared" si="0"/>
        <v>4.6368252454773244E-4</v>
      </c>
      <c r="F21" s="546" t="s">
        <v>518</v>
      </c>
      <c r="G21" s="152"/>
      <c r="H21" s="588">
        <v>3.4119999999999999</v>
      </c>
      <c r="I21" s="546" t="s">
        <v>519</v>
      </c>
    </row>
    <row r="22" spans="1:9" x14ac:dyDescent="0.25">
      <c r="A22" s="585" t="s">
        <v>527</v>
      </c>
      <c r="B22" s="586" t="s">
        <v>517</v>
      </c>
      <c r="C22" s="586" t="s">
        <v>517</v>
      </c>
      <c r="D22" s="587">
        <v>0.95720227199140007</v>
      </c>
      <c r="E22" s="50">
        <f t="shared" si="0"/>
        <v>4.3410533877161E-4</v>
      </c>
      <c r="F22" s="546" t="s">
        <v>518</v>
      </c>
      <c r="G22" s="152"/>
      <c r="H22" s="588">
        <v>3.4119999999999999</v>
      </c>
      <c r="I22" s="546" t="s">
        <v>519</v>
      </c>
    </row>
    <row r="23" spans="1:9" x14ac:dyDescent="0.25">
      <c r="A23" s="585" t="s">
        <v>528</v>
      </c>
      <c r="B23" s="586" t="s">
        <v>517</v>
      </c>
      <c r="C23" s="586" t="s">
        <v>517</v>
      </c>
      <c r="D23" s="587">
        <v>0.96344086021505404</v>
      </c>
      <c r="E23" s="50">
        <f t="shared" si="0"/>
        <v>4.3693463048301772E-4</v>
      </c>
      <c r="F23" s="546" t="s">
        <v>518</v>
      </c>
      <c r="G23" s="152"/>
      <c r="H23" s="588">
        <v>3.4119999999999999</v>
      </c>
      <c r="I23" s="546" t="s">
        <v>519</v>
      </c>
    </row>
    <row r="24" spans="1:9" x14ac:dyDescent="0.25">
      <c r="A24" s="585" t="s">
        <v>529</v>
      </c>
      <c r="B24" s="586" t="s">
        <v>517</v>
      </c>
      <c r="C24" s="586" t="s">
        <v>517</v>
      </c>
      <c r="D24" s="589">
        <v>0.83399999999999996</v>
      </c>
      <c r="E24" s="51">
        <f t="shared" si="0"/>
        <v>3.782312925170068E-4</v>
      </c>
      <c r="F24" s="546" t="s">
        <v>518</v>
      </c>
      <c r="G24" s="152"/>
      <c r="H24" s="588">
        <v>3.4119999999999999</v>
      </c>
      <c r="I24" s="546" t="s">
        <v>519</v>
      </c>
    </row>
    <row r="25" spans="1:9" x14ac:dyDescent="0.25">
      <c r="A25" s="585" t="s">
        <v>530</v>
      </c>
      <c r="B25" s="586" t="s">
        <v>517</v>
      </c>
      <c r="C25" s="586" t="s">
        <v>517</v>
      </c>
      <c r="D25" s="589">
        <v>0.83399999999999996</v>
      </c>
      <c r="E25" s="51">
        <f t="shared" si="0"/>
        <v>3.782312925170068E-4</v>
      </c>
      <c r="F25" s="546" t="s">
        <v>518</v>
      </c>
      <c r="G25" s="152"/>
      <c r="H25" s="588">
        <v>3.4119999999999999</v>
      </c>
      <c r="I25" s="546" t="s">
        <v>519</v>
      </c>
    </row>
    <row r="26" spans="1:9" x14ac:dyDescent="0.25">
      <c r="A26" s="585" t="s">
        <v>531</v>
      </c>
      <c r="B26" s="586" t="s">
        <v>517</v>
      </c>
      <c r="C26" s="586" t="s">
        <v>517</v>
      </c>
      <c r="D26" s="589">
        <v>0.83399999999999996</v>
      </c>
      <c r="E26" s="51">
        <f t="shared" si="0"/>
        <v>3.782312925170068E-4</v>
      </c>
      <c r="F26" s="546" t="s">
        <v>518</v>
      </c>
      <c r="G26" s="152"/>
      <c r="H26" s="588">
        <v>3.4119999999999999</v>
      </c>
      <c r="I26" s="546" t="s">
        <v>519</v>
      </c>
    </row>
    <row r="27" spans="1:9" x14ac:dyDescent="0.25">
      <c r="A27" s="585" t="s">
        <v>532</v>
      </c>
      <c r="B27" s="586" t="s">
        <v>517</v>
      </c>
      <c r="C27" s="586" t="s">
        <v>517</v>
      </c>
      <c r="D27" s="589">
        <v>0.83399999999999996</v>
      </c>
      <c r="E27" s="51">
        <f t="shared" si="0"/>
        <v>3.782312925170068E-4</v>
      </c>
      <c r="F27" s="546" t="s">
        <v>518</v>
      </c>
      <c r="G27" s="152"/>
      <c r="H27" s="588">
        <v>3.4119999999999999</v>
      </c>
      <c r="I27" s="546" t="s">
        <v>519</v>
      </c>
    </row>
    <row r="28" spans="1:9" x14ac:dyDescent="0.25">
      <c r="A28" s="585" t="s">
        <v>533</v>
      </c>
      <c r="B28" s="586" t="s">
        <v>517</v>
      </c>
      <c r="C28" s="586" t="s">
        <v>517</v>
      </c>
      <c r="D28" s="587">
        <v>1.1940860215053799</v>
      </c>
      <c r="E28" s="50">
        <f t="shared" si="0"/>
        <v>5.4153561066003621E-4</v>
      </c>
      <c r="F28" s="546" t="s">
        <v>518</v>
      </c>
      <c r="G28" s="152"/>
      <c r="H28" s="588">
        <v>3.4119999999999999</v>
      </c>
      <c r="I28" s="546" t="s">
        <v>519</v>
      </c>
    </row>
    <row r="29" spans="1:9" x14ac:dyDescent="0.25">
      <c r="A29" s="585" t="s">
        <v>534</v>
      </c>
      <c r="B29" s="586" t="s">
        <v>517</v>
      </c>
      <c r="C29" s="586" t="s">
        <v>517</v>
      </c>
      <c r="D29" s="587">
        <v>1.2247311827957001</v>
      </c>
      <c r="E29" s="50">
        <f t="shared" si="0"/>
        <v>5.5543364299124719E-4</v>
      </c>
      <c r="F29" s="546" t="s">
        <v>518</v>
      </c>
      <c r="G29" s="152"/>
      <c r="H29" s="588">
        <v>3.4119999999999999</v>
      </c>
      <c r="I29" s="546" t="s">
        <v>519</v>
      </c>
    </row>
    <row r="30" spans="1:9" x14ac:dyDescent="0.25">
      <c r="A30" s="585" t="s">
        <v>535</v>
      </c>
      <c r="B30" s="586" t="s">
        <v>517</v>
      </c>
      <c r="C30" s="586" t="s">
        <v>517</v>
      </c>
      <c r="D30" s="587">
        <v>1.23440860215054</v>
      </c>
      <c r="E30" s="50">
        <f t="shared" si="0"/>
        <v>5.5982249530636739E-4</v>
      </c>
      <c r="F30" s="546" t="s">
        <v>518</v>
      </c>
      <c r="G30" s="152"/>
      <c r="H30" s="588">
        <v>3.4119999999999999</v>
      </c>
      <c r="I30" s="546" t="s">
        <v>519</v>
      </c>
    </row>
    <row r="31" spans="1:9" x14ac:dyDescent="0.25">
      <c r="A31" s="585" t="s">
        <v>536</v>
      </c>
      <c r="B31" s="586" t="s">
        <v>517</v>
      </c>
      <c r="C31" s="586" t="s">
        <v>517</v>
      </c>
      <c r="D31" s="587">
        <v>1.2188112655297401</v>
      </c>
      <c r="E31" s="50">
        <f t="shared" si="0"/>
        <v>5.5274887325611796E-4</v>
      </c>
      <c r="F31" s="546" t="s">
        <v>518</v>
      </c>
      <c r="G31" s="152"/>
      <c r="H31" s="588">
        <v>3.4119999999999999</v>
      </c>
      <c r="I31" s="546" t="s">
        <v>519</v>
      </c>
    </row>
    <row r="32" spans="1:9" x14ac:dyDescent="0.25">
      <c r="A32" s="585" t="s">
        <v>537</v>
      </c>
      <c r="B32" s="586" t="s">
        <v>517</v>
      </c>
      <c r="C32" s="586" t="s">
        <v>517</v>
      </c>
      <c r="D32" s="587">
        <v>1.1520758451475599</v>
      </c>
      <c r="E32" s="50">
        <f t="shared" si="0"/>
        <v>5.224833764841542E-4</v>
      </c>
      <c r="F32" s="546" t="s">
        <v>518</v>
      </c>
      <c r="G32" s="152"/>
      <c r="H32" s="588">
        <v>3.4119999999999999</v>
      </c>
      <c r="I32" s="546" t="s">
        <v>519</v>
      </c>
    </row>
    <row r="33" spans="1:9" x14ac:dyDescent="0.25">
      <c r="A33" s="585" t="s">
        <v>538</v>
      </c>
      <c r="B33" s="586" t="s">
        <v>517</v>
      </c>
      <c r="C33" s="586" t="s">
        <v>517</v>
      </c>
      <c r="D33" s="587">
        <v>1.09642717135666</v>
      </c>
      <c r="E33" s="50">
        <f t="shared" si="0"/>
        <v>4.9724588270143311E-4</v>
      </c>
      <c r="F33" s="546" t="s">
        <v>518</v>
      </c>
      <c r="G33" s="152"/>
      <c r="H33" s="588">
        <v>3.4119999999999999</v>
      </c>
      <c r="I33" s="546" t="s">
        <v>519</v>
      </c>
    </row>
    <row r="34" spans="1:9" x14ac:dyDescent="0.25">
      <c r="A34" s="585" t="s">
        <v>539</v>
      </c>
      <c r="B34" s="586" t="s">
        <v>517</v>
      </c>
      <c r="C34" s="586" t="s">
        <v>517</v>
      </c>
      <c r="D34" s="587">
        <v>1.06523279010648</v>
      </c>
      <c r="E34" s="50">
        <f t="shared" si="0"/>
        <v>4.8309877102334695E-4</v>
      </c>
      <c r="F34" s="546" t="s">
        <v>518</v>
      </c>
      <c r="G34" s="152"/>
      <c r="H34" s="588">
        <v>3.4119999999999999</v>
      </c>
      <c r="I34" s="546" t="s">
        <v>519</v>
      </c>
    </row>
    <row r="35" spans="1:9" x14ac:dyDescent="0.25">
      <c r="A35" s="585" t="s">
        <v>540</v>
      </c>
      <c r="B35" s="586" t="s">
        <v>517</v>
      </c>
      <c r="C35" s="586" t="s">
        <v>517</v>
      </c>
      <c r="D35" s="587">
        <v>0.98981111930957399</v>
      </c>
      <c r="E35" s="50">
        <f t="shared" si="0"/>
        <v>4.4889393165967076E-4</v>
      </c>
      <c r="F35" s="546" t="s">
        <v>518</v>
      </c>
      <c r="G35" s="152"/>
      <c r="H35" s="588">
        <v>3.4119999999999999</v>
      </c>
      <c r="I35" s="546" t="s">
        <v>519</v>
      </c>
    </row>
    <row r="36" spans="1:9" x14ac:dyDescent="0.25">
      <c r="A36" s="585" t="s">
        <v>541</v>
      </c>
      <c r="B36" s="586" t="s">
        <v>517</v>
      </c>
      <c r="C36" s="586" t="s">
        <v>517</v>
      </c>
      <c r="D36" s="587">
        <v>0.96032156610322705</v>
      </c>
      <c r="E36" s="50">
        <f t="shared" si="0"/>
        <v>4.3551998462731386E-4</v>
      </c>
      <c r="F36" s="546" t="s">
        <v>518</v>
      </c>
      <c r="G36" s="152"/>
      <c r="H36" s="588">
        <v>3.4119999999999999</v>
      </c>
      <c r="I36" s="546" t="s">
        <v>519</v>
      </c>
    </row>
    <row r="37" spans="1:9" x14ac:dyDescent="0.25">
      <c r="A37" s="585" t="s">
        <v>542</v>
      </c>
      <c r="B37" s="586" t="s">
        <v>517</v>
      </c>
      <c r="C37" s="586" t="s">
        <v>517</v>
      </c>
      <c r="D37" s="589">
        <v>0.898720430107527</v>
      </c>
      <c r="E37" s="51">
        <f t="shared" si="0"/>
        <v>4.0758296150001223E-4</v>
      </c>
      <c r="F37" s="546" t="s">
        <v>518</v>
      </c>
      <c r="G37" s="152"/>
      <c r="H37" s="588">
        <v>3.4119999999999999</v>
      </c>
      <c r="I37" s="546" t="s">
        <v>519</v>
      </c>
    </row>
    <row r="38" spans="1:9" x14ac:dyDescent="0.25">
      <c r="A38" s="585" t="s">
        <v>543</v>
      </c>
      <c r="B38" s="586" t="s">
        <v>517</v>
      </c>
      <c r="C38" s="586" t="s">
        <v>517</v>
      </c>
      <c r="D38" s="589">
        <v>0.898720430107527</v>
      </c>
      <c r="E38" s="51">
        <f t="shared" si="0"/>
        <v>4.0758296150001223E-4</v>
      </c>
      <c r="F38" s="546" t="s">
        <v>518</v>
      </c>
      <c r="G38" s="152"/>
      <c r="H38" s="588">
        <v>3.4119999999999999</v>
      </c>
      <c r="I38" s="546" t="s">
        <v>519</v>
      </c>
    </row>
    <row r="39" spans="1:9" x14ac:dyDescent="0.25">
      <c r="A39" s="585" t="s">
        <v>544</v>
      </c>
      <c r="B39" s="586" t="s">
        <v>517</v>
      </c>
      <c r="C39" s="586" t="s">
        <v>517</v>
      </c>
      <c r="D39" s="589">
        <v>0.898720430107527</v>
      </c>
      <c r="E39" s="51">
        <f t="shared" si="0"/>
        <v>4.0758296150001223E-4</v>
      </c>
      <c r="F39" s="546" t="s">
        <v>518</v>
      </c>
      <c r="G39" s="152"/>
      <c r="H39" s="588">
        <v>3.4119999999999999</v>
      </c>
      <c r="I39" s="546" t="s">
        <v>519</v>
      </c>
    </row>
    <row r="40" spans="1:9" x14ac:dyDescent="0.25">
      <c r="A40" s="585" t="s">
        <v>545</v>
      </c>
      <c r="B40" s="586" t="s">
        <v>517</v>
      </c>
      <c r="C40" s="586" t="s">
        <v>517</v>
      </c>
      <c r="D40" s="589">
        <v>0.898720430107527</v>
      </c>
      <c r="E40" s="51">
        <f t="shared" si="0"/>
        <v>4.0758296150001223E-4</v>
      </c>
      <c r="F40" s="546" t="s">
        <v>518</v>
      </c>
      <c r="G40" s="152"/>
      <c r="H40" s="588">
        <v>3.4119999999999999</v>
      </c>
      <c r="I40" s="546" t="s">
        <v>519</v>
      </c>
    </row>
    <row r="41" spans="1:9" x14ac:dyDescent="0.25">
      <c r="A41" s="585" t="s">
        <v>546</v>
      </c>
      <c r="B41" s="586">
        <f>53.06/(0.453592*10)</f>
        <v>11.697737173495124</v>
      </c>
      <c r="C41" s="586">
        <f>B41/2205</f>
        <v>5.3050962238073126E-3</v>
      </c>
      <c r="D41" s="586">
        <v>11.728609767</v>
      </c>
      <c r="E41" s="50">
        <f t="shared" si="0"/>
        <v>5.3190974000000002E-3</v>
      </c>
      <c r="F41" s="546" t="s">
        <v>547</v>
      </c>
      <c r="G41" s="546" t="s">
        <v>548</v>
      </c>
      <c r="H41" s="588">
        <v>100</v>
      </c>
      <c r="I41" s="546" t="s">
        <v>519</v>
      </c>
    </row>
    <row r="42" spans="1:9" x14ac:dyDescent="0.25">
      <c r="A42" s="585" t="s">
        <v>549</v>
      </c>
      <c r="B42" s="586">
        <f>B41*1.023</f>
        <v>11.96678512848551</v>
      </c>
      <c r="C42" s="586">
        <f>B42/2205</f>
        <v>5.4271134369548802E-3</v>
      </c>
      <c r="D42" s="586">
        <v>11.998357799999999</v>
      </c>
      <c r="E42" s="50">
        <f t="shared" si="0"/>
        <v>5.441432108843537E-3</v>
      </c>
      <c r="F42" s="546" t="s">
        <v>550</v>
      </c>
      <c r="G42" s="546" t="s">
        <v>550</v>
      </c>
      <c r="H42" s="588">
        <v>102.3</v>
      </c>
      <c r="I42" s="546" t="s">
        <v>551</v>
      </c>
    </row>
    <row r="43" spans="1:9" x14ac:dyDescent="0.25">
      <c r="A43" s="585" t="s">
        <v>552</v>
      </c>
      <c r="B43" s="586">
        <f>10.15/0.453592</f>
        <v>22.376937864865344</v>
      </c>
      <c r="C43" s="586">
        <f>B43/2205</f>
        <v>1.0148271140528501E-2</v>
      </c>
      <c r="D43" s="586">
        <v>22.4940157785</v>
      </c>
      <c r="E43" s="50">
        <f t="shared" si="0"/>
        <v>1.02013677E-2</v>
      </c>
      <c r="F43" s="546" t="s">
        <v>547</v>
      </c>
      <c r="G43" s="546" t="s">
        <v>548</v>
      </c>
      <c r="H43" s="588">
        <v>138.69047619047601</v>
      </c>
      <c r="I43" s="546" t="s">
        <v>519</v>
      </c>
    </row>
    <row r="44" spans="1:9" x14ac:dyDescent="0.25">
      <c r="A44" s="585" t="s">
        <v>553</v>
      </c>
      <c r="B44" s="586">
        <f>10.15/0.453592</f>
        <v>22.376937864865344</v>
      </c>
      <c r="C44" s="586">
        <f>B44/2205</f>
        <v>1.0148271140528501E-2</v>
      </c>
      <c r="D44" s="586">
        <v>22.4940157785</v>
      </c>
      <c r="E44" s="50">
        <f t="shared" si="0"/>
        <v>1.02013677E-2</v>
      </c>
      <c r="F44" s="546" t="s">
        <v>547</v>
      </c>
      <c r="G44" s="546" t="s">
        <v>548</v>
      </c>
      <c r="H44" s="588">
        <v>138.69047619047601</v>
      </c>
      <c r="I44" s="546" t="s">
        <v>519</v>
      </c>
    </row>
    <row r="45" spans="1:9" x14ac:dyDescent="0.25">
      <c r="A45" s="585" t="s">
        <v>554</v>
      </c>
      <c r="B45" s="586">
        <f>11.8/0.453592</f>
        <v>26.014568158168576</v>
      </c>
      <c r="C45" s="586">
        <f>B45/2205</f>
        <v>1.1797990094407518E-2</v>
      </c>
      <c r="D45" s="586">
        <v>26.141554340999999</v>
      </c>
      <c r="E45" s="50">
        <f t="shared" si="0"/>
        <v>1.18555802E-2</v>
      </c>
      <c r="F45" s="546" t="s">
        <v>547</v>
      </c>
      <c r="G45" s="546" t="s">
        <v>548</v>
      </c>
      <c r="H45" s="588">
        <v>149.69047619047601</v>
      </c>
      <c r="I45" s="546" t="s">
        <v>519</v>
      </c>
    </row>
    <row r="46" spans="1:9" x14ac:dyDescent="0.25">
      <c r="A46" s="585" t="s">
        <v>555</v>
      </c>
      <c r="B46" s="586">
        <v>0</v>
      </c>
      <c r="C46" s="586">
        <v>0</v>
      </c>
      <c r="D46" s="586">
        <v>0</v>
      </c>
      <c r="E46" s="50">
        <f t="shared" si="0"/>
        <v>0</v>
      </c>
      <c r="F46" s="153">
        <v>0</v>
      </c>
      <c r="G46" s="153">
        <v>0</v>
      </c>
      <c r="H46" s="588">
        <v>3.4119999999999999</v>
      </c>
      <c r="I46" s="546" t="s">
        <v>519</v>
      </c>
    </row>
    <row r="47" spans="1:9" x14ac:dyDescent="0.25">
      <c r="A47" s="585" t="s">
        <v>556</v>
      </c>
      <c r="B47" s="586">
        <v>0</v>
      </c>
      <c r="C47" s="586">
        <v>0</v>
      </c>
      <c r="D47" s="586">
        <v>0</v>
      </c>
      <c r="E47" s="50">
        <f t="shared" si="0"/>
        <v>0</v>
      </c>
      <c r="F47" s="153">
        <v>0</v>
      </c>
      <c r="G47" s="153">
        <v>0</v>
      </c>
      <c r="H47" s="588">
        <v>3.4119999999999999</v>
      </c>
      <c r="I47" s="546" t="s">
        <v>519</v>
      </c>
    </row>
    <row r="48" spans="1:9" x14ac:dyDescent="0.25">
      <c r="A48" s="585" t="s">
        <v>557</v>
      </c>
      <c r="B48" s="586">
        <v>0</v>
      </c>
      <c r="C48" s="586">
        <v>0</v>
      </c>
      <c r="D48" s="586">
        <v>0</v>
      </c>
      <c r="E48" s="50">
        <f t="shared" si="0"/>
        <v>0</v>
      </c>
      <c r="F48" s="153">
        <v>0</v>
      </c>
      <c r="G48" s="153">
        <v>0</v>
      </c>
      <c r="H48" s="588">
        <v>3.4119999999999999</v>
      </c>
      <c r="I48" s="546" t="s">
        <v>519</v>
      </c>
    </row>
    <row r="49" spans="1:9" x14ac:dyDescent="0.25">
      <c r="A49" s="585" t="s">
        <v>558</v>
      </c>
      <c r="B49" s="586">
        <v>0</v>
      </c>
      <c r="C49" s="586">
        <v>0</v>
      </c>
      <c r="D49" s="586">
        <v>0</v>
      </c>
      <c r="E49" s="50">
        <f t="shared" si="0"/>
        <v>0</v>
      </c>
      <c r="F49" s="153">
        <v>0</v>
      </c>
      <c r="G49" s="153">
        <v>0</v>
      </c>
      <c r="H49" s="588">
        <v>3.4119999999999999</v>
      </c>
      <c r="I49" s="546" t="s">
        <v>519</v>
      </c>
    </row>
    <row r="50" spans="1:9" x14ac:dyDescent="0.25">
      <c r="A50" s="585" t="s">
        <v>559</v>
      </c>
      <c r="B50" s="586" t="s">
        <v>517</v>
      </c>
      <c r="C50" s="586" t="s">
        <v>517</v>
      </c>
      <c r="D50" s="586" t="s">
        <v>560</v>
      </c>
      <c r="E50" s="586" t="s">
        <v>560</v>
      </c>
      <c r="F50" s="546" t="s">
        <v>518</v>
      </c>
      <c r="G50" s="153">
        <v>0</v>
      </c>
      <c r="H50" s="590">
        <v>0</v>
      </c>
      <c r="I50" s="153">
        <v>0</v>
      </c>
    </row>
    <row r="51" spans="1:9" x14ac:dyDescent="0.25">
      <c r="A51" s="585" t="s">
        <v>561</v>
      </c>
      <c r="B51" s="586">
        <f>10.15/0.453592</f>
        <v>22.376937864865344</v>
      </c>
      <c r="C51" s="586">
        <f t="shared" ref="C51:C56" si="1">B51/2205</f>
        <v>1.0148271140528501E-2</v>
      </c>
      <c r="D51" s="586">
        <v>22.376937864865344</v>
      </c>
      <c r="E51" s="50">
        <f t="shared" ref="E51:E66" si="2">D51/$B$121</f>
        <v>1.0148271140528501E-2</v>
      </c>
      <c r="F51" s="546" t="s">
        <v>562</v>
      </c>
      <c r="G51" s="546" t="s">
        <v>548</v>
      </c>
      <c r="H51" s="154">
        <v>138.69047619047601</v>
      </c>
      <c r="I51" s="154" t="s">
        <v>519</v>
      </c>
    </row>
    <row r="52" spans="1:9" x14ac:dyDescent="0.25">
      <c r="A52" s="585" t="s">
        <v>563</v>
      </c>
      <c r="B52" s="586">
        <f>1.34/0.453592</f>
        <v>2.954196723046262</v>
      </c>
      <c r="C52" s="586">
        <f>B52/2205</f>
        <v>1.3397717564835655E-3</v>
      </c>
      <c r="D52" s="586">
        <v>2.954196723046262</v>
      </c>
      <c r="E52" s="50">
        <f t="shared" si="2"/>
        <v>1.3397717564835655E-3</v>
      </c>
      <c r="F52" s="546" t="s">
        <v>562</v>
      </c>
      <c r="G52" s="546" t="s">
        <v>548</v>
      </c>
      <c r="H52" s="154">
        <v>84.833333333333343</v>
      </c>
      <c r="I52" s="154" t="s">
        <v>519</v>
      </c>
    </row>
    <row r="53" spans="1:9" x14ac:dyDescent="0.25">
      <c r="A53" s="585" t="s">
        <v>564</v>
      </c>
      <c r="B53" s="586">
        <f>8.91/0.453592</f>
        <v>19.643203583837458</v>
      </c>
      <c r="C53" s="586">
        <f t="shared" si="1"/>
        <v>8.9084823509466924E-3</v>
      </c>
      <c r="D53" s="586">
        <v>19.643203583837458</v>
      </c>
      <c r="E53" s="50">
        <f t="shared" si="2"/>
        <v>8.9084823509466924E-3</v>
      </c>
      <c r="F53" s="546" t="s">
        <v>562</v>
      </c>
      <c r="G53" s="546" t="s">
        <v>548</v>
      </c>
      <c r="H53" s="154">
        <v>125.07142857142858</v>
      </c>
      <c r="I53" s="154" t="s">
        <v>519</v>
      </c>
    </row>
    <row r="54" spans="1:9" x14ac:dyDescent="0.25">
      <c r="A54" s="585" t="s">
        <v>565</v>
      </c>
      <c r="B54" s="586">
        <f>5.74/0.453592</f>
        <v>12.654544171854884</v>
      </c>
      <c r="C54" s="586">
        <f t="shared" si="1"/>
        <v>5.7390223001609446E-3</v>
      </c>
      <c r="D54" s="586">
        <v>12.782889945000001</v>
      </c>
      <c r="E54" s="50">
        <f t="shared" si="2"/>
        <v>5.7972290000000001E-3</v>
      </c>
      <c r="F54" s="546" t="s">
        <v>547</v>
      </c>
      <c r="G54" s="546" t="s">
        <v>548</v>
      </c>
      <c r="H54" s="588">
        <v>91.333333333333343</v>
      </c>
      <c r="I54" s="546" t="s">
        <v>519</v>
      </c>
    </row>
    <row r="55" spans="1:9" x14ac:dyDescent="0.25">
      <c r="A55" s="585" t="s">
        <v>566</v>
      </c>
      <c r="B55" s="586">
        <f>5.74/0.453592</f>
        <v>12.654544171854884</v>
      </c>
      <c r="C55" s="586">
        <f t="shared" si="1"/>
        <v>5.7390223001609446E-3</v>
      </c>
      <c r="D55" s="586">
        <v>12.654544171854884</v>
      </c>
      <c r="E55" s="50">
        <f t="shared" si="2"/>
        <v>5.7390223001609446E-3</v>
      </c>
      <c r="F55" s="546" t="s">
        <v>547</v>
      </c>
      <c r="G55" s="546" t="s">
        <v>548</v>
      </c>
      <c r="H55" s="588">
        <v>91.333333333333343</v>
      </c>
      <c r="I55" s="546" t="s">
        <v>519</v>
      </c>
    </row>
    <row r="56" spans="1:9" x14ac:dyDescent="0.25">
      <c r="A56" s="585" t="s">
        <v>567</v>
      </c>
      <c r="B56" s="586">
        <f>9.57/0.453592</f>
        <v>21.098255701158752</v>
      </c>
      <c r="C56" s="586">
        <f t="shared" si="1"/>
        <v>9.568369932498301E-3</v>
      </c>
      <c r="D56" s="586">
        <v>21.098255701158752</v>
      </c>
      <c r="E56" s="50">
        <f t="shared" si="2"/>
        <v>9.568369932498301E-3</v>
      </c>
      <c r="F56" s="546" t="s">
        <v>562</v>
      </c>
      <c r="G56" s="546" t="s">
        <v>548</v>
      </c>
      <c r="H56" s="154">
        <v>127.5</v>
      </c>
      <c r="I56" s="154" t="s">
        <v>519</v>
      </c>
    </row>
    <row r="57" spans="1:9" x14ac:dyDescent="0.25">
      <c r="A57" s="585" t="s">
        <v>568</v>
      </c>
      <c r="B57" s="586">
        <v>0</v>
      </c>
      <c r="C57" s="586">
        <v>0</v>
      </c>
      <c r="D57" s="586">
        <v>0</v>
      </c>
      <c r="E57" s="50">
        <f t="shared" si="2"/>
        <v>0</v>
      </c>
      <c r="F57" s="546">
        <v>0</v>
      </c>
      <c r="G57" s="546">
        <v>0</v>
      </c>
      <c r="H57" s="154">
        <v>120</v>
      </c>
      <c r="I57" s="154" t="s">
        <v>569</v>
      </c>
    </row>
    <row r="58" spans="1:9" x14ac:dyDescent="0.25">
      <c r="A58" s="585" t="s">
        <v>570</v>
      </c>
      <c r="B58" s="586">
        <v>0</v>
      </c>
      <c r="C58" s="586">
        <v>0</v>
      </c>
      <c r="D58" s="586">
        <v>0</v>
      </c>
      <c r="E58" s="50">
        <f t="shared" si="2"/>
        <v>0</v>
      </c>
      <c r="F58" s="546" t="s">
        <v>548</v>
      </c>
      <c r="G58" s="546" t="s">
        <v>548</v>
      </c>
      <c r="H58" s="154">
        <v>127.5952380952381</v>
      </c>
      <c r="I58" s="154" t="s">
        <v>519</v>
      </c>
    </row>
    <row r="59" spans="1:9" x14ac:dyDescent="0.25">
      <c r="A59" s="585" t="s">
        <v>571</v>
      </c>
      <c r="B59" s="586">
        <f>8.12/0.453592</f>
        <v>17.901550291892271</v>
      </c>
      <c r="C59" s="586">
        <f>B59/2205</f>
        <v>8.1186169124227991E-3</v>
      </c>
      <c r="D59" s="586">
        <v>17.901550291892271</v>
      </c>
      <c r="E59" s="50">
        <f t="shared" si="2"/>
        <v>8.1186169124227991E-3</v>
      </c>
      <c r="F59" s="546" t="s">
        <v>562</v>
      </c>
      <c r="G59" s="546" t="s">
        <v>548</v>
      </c>
      <c r="H59" s="154">
        <v>136</v>
      </c>
      <c r="I59" s="154" t="s">
        <v>572</v>
      </c>
    </row>
    <row r="60" spans="1:9" x14ac:dyDescent="0.25">
      <c r="A60" s="585" t="s">
        <v>573</v>
      </c>
      <c r="B60" s="586">
        <f>9.64/0.453592</f>
        <v>21.252579410571617</v>
      </c>
      <c r="C60" s="586">
        <f>B60/2205</f>
        <v>9.6383580093295316E-3</v>
      </c>
      <c r="D60" s="586">
        <v>21.252579410571617</v>
      </c>
      <c r="E60" s="50">
        <f t="shared" si="2"/>
        <v>9.6383580093295316E-3</v>
      </c>
      <c r="F60" s="546" t="s">
        <v>562</v>
      </c>
      <c r="G60" s="546" t="s">
        <v>548</v>
      </c>
      <c r="H60" s="154">
        <v>138</v>
      </c>
      <c r="I60" s="154" t="s">
        <v>572</v>
      </c>
    </row>
    <row r="61" spans="1:9" x14ac:dyDescent="0.25">
      <c r="A61" s="585" t="s">
        <v>574</v>
      </c>
      <c r="B61" s="586">
        <f>(0.0545*126.67)/0.453592</f>
        <v>15.219657754105011</v>
      </c>
      <c r="C61" s="586">
        <f>B61/2205</f>
        <v>6.9023391175079413E-3</v>
      </c>
      <c r="D61" s="586">
        <v>15.219657754105011</v>
      </c>
      <c r="E61" s="50">
        <f t="shared" si="2"/>
        <v>6.9023391175079413E-3</v>
      </c>
      <c r="F61" s="546" t="s">
        <v>562</v>
      </c>
      <c r="G61" s="546" t="s">
        <v>575</v>
      </c>
      <c r="H61" s="154">
        <v>22.452999999999999</v>
      </c>
      <c r="I61" s="154" t="s">
        <v>576</v>
      </c>
    </row>
    <row r="62" spans="1:9" x14ac:dyDescent="0.25">
      <c r="A62" s="585" t="s">
        <v>577</v>
      </c>
      <c r="B62" s="586">
        <f>4.46/0.453592</f>
        <v>9.8326249140196484</v>
      </c>
      <c r="C62" s="586">
        <f>B62/2205</f>
        <v>4.4592403238184345E-3</v>
      </c>
      <c r="D62" s="586">
        <v>9.8326249140196484</v>
      </c>
      <c r="E62" s="50">
        <f t="shared" si="2"/>
        <v>4.4592403238184345E-3</v>
      </c>
      <c r="F62" s="546" t="s">
        <v>562</v>
      </c>
      <c r="G62" s="546" t="s">
        <v>578</v>
      </c>
      <c r="H62" s="154">
        <v>84.82</v>
      </c>
      <c r="I62" s="154" t="s">
        <v>576</v>
      </c>
    </row>
    <row r="63" spans="1:9" x14ac:dyDescent="0.25">
      <c r="A63" s="585" t="s">
        <v>579</v>
      </c>
      <c r="B63" s="586" t="s">
        <v>580</v>
      </c>
      <c r="C63" s="586" t="s">
        <v>580</v>
      </c>
      <c r="D63" s="586">
        <v>207.82178691749999</v>
      </c>
      <c r="E63" s="50">
        <f t="shared" si="2"/>
        <v>9.4250243499999997E-2</v>
      </c>
      <c r="F63" s="546" t="s">
        <v>547</v>
      </c>
      <c r="G63" s="546" t="s">
        <v>581</v>
      </c>
      <c r="H63" s="588">
        <v>1194</v>
      </c>
      <c r="I63" s="546" t="s">
        <v>582</v>
      </c>
    </row>
    <row r="64" spans="1:9" x14ac:dyDescent="0.25">
      <c r="A64" s="585" t="s">
        <v>583</v>
      </c>
      <c r="B64" s="586">
        <f>(93.28*20191.5)/(0.453592*1000)</f>
        <v>4152.3287888675286</v>
      </c>
      <c r="C64" s="586">
        <f>B64/2205</f>
        <v>1.8831423078764302</v>
      </c>
      <c r="D64" s="586">
        <v>4192.1653267297497</v>
      </c>
      <c r="E64" s="50">
        <f t="shared" si="2"/>
        <v>1.9012087649568026</v>
      </c>
      <c r="F64" s="546" t="s">
        <v>547</v>
      </c>
      <c r="G64" s="546" t="s">
        <v>548</v>
      </c>
      <c r="H64" s="588">
        <v>20191.5</v>
      </c>
      <c r="I64" s="546" t="s">
        <v>519</v>
      </c>
    </row>
    <row r="65" spans="1:10" x14ac:dyDescent="0.25">
      <c r="A65" s="585" t="s">
        <v>584</v>
      </c>
      <c r="B65" s="586">
        <v>0</v>
      </c>
      <c r="C65" s="586">
        <v>0</v>
      </c>
      <c r="D65" s="586">
        <v>0</v>
      </c>
      <c r="E65" s="50">
        <f t="shared" si="2"/>
        <v>0</v>
      </c>
      <c r="F65" s="546" t="s">
        <v>585</v>
      </c>
      <c r="G65" s="546" t="s">
        <v>585</v>
      </c>
      <c r="H65" s="588">
        <v>16500</v>
      </c>
      <c r="I65" s="546" t="s">
        <v>586</v>
      </c>
    </row>
    <row r="66" spans="1:10" x14ac:dyDescent="0.25">
      <c r="A66" s="585" t="s">
        <v>587</v>
      </c>
      <c r="B66" s="586">
        <v>0</v>
      </c>
      <c r="C66" s="586">
        <v>0</v>
      </c>
      <c r="D66" s="586">
        <v>0</v>
      </c>
      <c r="E66" s="50">
        <f t="shared" si="2"/>
        <v>0</v>
      </c>
      <c r="F66" s="546" t="s">
        <v>585</v>
      </c>
      <c r="G66" s="546" t="s">
        <v>585</v>
      </c>
      <c r="H66" s="588">
        <v>22000</v>
      </c>
      <c r="I66" s="546" t="s">
        <v>586</v>
      </c>
    </row>
    <row r="67" spans="1:10" x14ac:dyDescent="0.25">
      <c r="I67" s="1155" t="s">
        <v>588</v>
      </c>
      <c r="J67" s="1155"/>
    </row>
    <row r="68" spans="1:10" x14ac:dyDescent="0.25">
      <c r="I68" s="1155"/>
      <c r="J68" s="1155"/>
    </row>
    <row r="69" spans="1:10" x14ac:dyDescent="0.25">
      <c r="I69" s="1155"/>
      <c r="J69" s="1155"/>
    </row>
    <row r="70" spans="1:10" x14ac:dyDescent="0.25">
      <c r="I70" s="1155"/>
      <c r="J70" s="1155"/>
    </row>
    <row r="71" spans="1:10" x14ac:dyDescent="0.25">
      <c r="I71" s="1155"/>
      <c r="J71" s="1155"/>
    </row>
    <row r="72" spans="1:10" x14ac:dyDescent="0.25">
      <c r="E72" s="150"/>
    </row>
    <row r="73" spans="1:10" ht="31.5" x14ac:dyDescent="0.5">
      <c r="A73" s="1140" t="s">
        <v>589</v>
      </c>
      <c r="B73" s="1140"/>
      <c r="C73" s="1140"/>
      <c r="D73" s="1140"/>
      <c r="E73" s="150"/>
      <c r="I73" s="150"/>
    </row>
    <row r="74" spans="1:10" x14ac:dyDescent="0.25">
      <c r="A74" s="156" t="s">
        <v>507</v>
      </c>
      <c r="B74" s="53" t="s">
        <v>590</v>
      </c>
      <c r="C74" s="156" t="s">
        <v>591</v>
      </c>
      <c r="D74" s="156" t="s">
        <v>592</v>
      </c>
      <c r="E74" s="150"/>
      <c r="I74" s="150"/>
    </row>
    <row r="75" spans="1:10" x14ac:dyDescent="0.25">
      <c r="A75" s="157" t="s">
        <v>593</v>
      </c>
      <c r="B75" s="54">
        <v>7600</v>
      </c>
      <c r="C75" s="1156" t="s">
        <v>594</v>
      </c>
      <c r="D75" s="1157"/>
      <c r="E75" s="150"/>
      <c r="I75" s="150"/>
    </row>
    <row r="76" spans="1:10" x14ac:dyDescent="0.25">
      <c r="A76" s="157" t="s">
        <v>595</v>
      </c>
      <c r="B76" s="54">
        <v>943</v>
      </c>
      <c r="C76" s="1158"/>
      <c r="D76" s="1159"/>
      <c r="E76" s="150"/>
      <c r="I76" s="150"/>
    </row>
    <row r="77" spans="1:10" x14ac:dyDescent="0.25">
      <c r="A77" s="157" t="s">
        <v>596</v>
      </c>
      <c r="B77" s="54">
        <v>800</v>
      </c>
      <c r="C77" s="1158"/>
      <c r="D77" s="1159"/>
      <c r="E77" s="150"/>
      <c r="I77" s="150"/>
    </row>
    <row r="78" spans="1:10" x14ac:dyDescent="0.25">
      <c r="A78" s="157" t="s">
        <v>597</v>
      </c>
      <c r="B78" s="54">
        <v>129</v>
      </c>
      <c r="C78" s="1160"/>
      <c r="D78" s="1161"/>
      <c r="E78" s="150"/>
      <c r="I78" s="150"/>
    </row>
    <row r="79" spans="1:10" x14ac:dyDescent="0.25">
      <c r="A79" s="158" t="s">
        <v>598</v>
      </c>
      <c r="B79" s="55">
        <v>7200</v>
      </c>
      <c r="C79" s="1144" t="s">
        <v>599</v>
      </c>
      <c r="D79" s="1145"/>
      <c r="E79" s="150"/>
      <c r="I79" s="150"/>
    </row>
    <row r="80" spans="1:10" x14ac:dyDescent="0.25">
      <c r="A80" s="158" t="s">
        <v>600</v>
      </c>
      <c r="B80" s="55">
        <v>1020</v>
      </c>
      <c r="C80" s="1146"/>
      <c r="D80" s="1147"/>
      <c r="E80" s="150"/>
      <c r="I80" s="150"/>
    </row>
    <row r="81" spans="1:9" x14ac:dyDescent="0.25">
      <c r="A81" s="158" t="s">
        <v>601</v>
      </c>
      <c r="B81" s="55">
        <v>800</v>
      </c>
      <c r="C81" s="1146"/>
      <c r="D81" s="1147"/>
      <c r="E81" s="150"/>
      <c r="I81" s="150"/>
    </row>
    <row r="82" spans="1:9" x14ac:dyDescent="0.25">
      <c r="A82" s="158" t="s">
        <v>602</v>
      </c>
      <c r="B82" s="55">
        <v>131.19999999999999</v>
      </c>
      <c r="C82" s="1148"/>
      <c r="D82" s="1149"/>
      <c r="E82" s="150"/>
      <c r="I82" s="150"/>
    </row>
    <row r="83" spans="1:9" ht="63.75" x14ac:dyDescent="0.25">
      <c r="A83" s="158" t="s">
        <v>603</v>
      </c>
      <c r="B83" s="56">
        <v>4.75</v>
      </c>
      <c r="C83" s="57" t="s">
        <v>604</v>
      </c>
      <c r="D83" s="159" t="s">
        <v>605</v>
      </c>
      <c r="E83" s="150"/>
      <c r="I83" s="150"/>
    </row>
    <row r="84" spans="1:9" x14ac:dyDescent="0.25">
      <c r="A84" s="1139" t="s">
        <v>606</v>
      </c>
      <c r="B84" s="1139"/>
      <c r="C84" s="1139"/>
      <c r="D84" s="1139"/>
    </row>
    <row r="86" spans="1:9" ht="31.5" x14ac:dyDescent="0.5">
      <c r="A86" s="1140" t="s">
        <v>607</v>
      </c>
      <c r="B86" s="1140"/>
      <c r="E86" s="150"/>
    </row>
    <row r="87" spans="1:9" x14ac:dyDescent="0.25">
      <c r="A87" s="156" t="s">
        <v>608</v>
      </c>
      <c r="B87" s="156" t="s">
        <v>609</v>
      </c>
      <c r="E87" s="150"/>
      <c r="F87" s="155"/>
      <c r="I87" s="150"/>
    </row>
    <row r="88" spans="1:9" x14ac:dyDescent="0.25">
      <c r="A88" s="158" t="s">
        <v>610</v>
      </c>
      <c r="B88" s="158" t="s">
        <v>611</v>
      </c>
      <c r="E88" s="150"/>
      <c r="F88" s="155"/>
      <c r="I88" s="150"/>
    </row>
    <row r="89" spans="1:9" x14ac:dyDescent="0.25">
      <c r="A89" s="158" t="s">
        <v>612</v>
      </c>
      <c r="B89" s="160" t="s">
        <v>613</v>
      </c>
      <c r="E89" s="150"/>
      <c r="F89" s="155"/>
      <c r="I89" s="150"/>
    </row>
    <row r="90" spans="1:9" x14ac:dyDescent="0.25">
      <c r="A90" s="158" t="s">
        <v>614</v>
      </c>
      <c r="B90" s="160" t="s">
        <v>615</v>
      </c>
      <c r="E90" s="150"/>
      <c r="F90" s="155"/>
      <c r="I90" s="150"/>
    </row>
    <row r="91" spans="1:9" x14ac:dyDescent="0.25">
      <c r="A91" s="158" t="s">
        <v>616</v>
      </c>
      <c r="B91" s="160" t="s">
        <v>617</v>
      </c>
      <c r="E91" s="150"/>
      <c r="I91" s="150"/>
    </row>
    <row r="92" spans="1:9" x14ac:dyDescent="0.25">
      <c r="A92" s="158" t="s">
        <v>618</v>
      </c>
      <c r="B92" s="158"/>
      <c r="E92" s="150"/>
      <c r="I92" s="150"/>
    </row>
    <row r="93" spans="1:9" x14ac:dyDescent="0.25">
      <c r="A93" s="158" t="s">
        <v>619</v>
      </c>
      <c r="B93" s="158"/>
      <c r="E93" s="150"/>
      <c r="I93" s="150"/>
    </row>
    <row r="94" spans="1:9" x14ac:dyDescent="0.25">
      <c r="E94" s="150"/>
    </row>
    <row r="95" spans="1:9" x14ac:dyDescent="0.25">
      <c r="E95" s="150"/>
    </row>
    <row r="96" spans="1:9" x14ac:dyDescent="0.25">
      <c r="A96" s="1141" t="s">
        <v>620</v>
      </c>
      <c r="B96" s="1141"/>
      <c r="C96" s="1141"/>
      <c r="E96" s="150"/>
    </row>
    <row r="97" spans="1:9" x14ac:dyDescent="0.25">
      <c r="A97" s="544" t="s">
        <v>621</v>
      </c>
      <c r="B97" s="58" t="s">
        <v>622</v>
      </c>
      <c r="C97" s="544" t="s">
        <v>623</v>
      </c>
      <c r="E97" s="150"/>
      <c r="I97" s="150"/>
    </row>
    <row r="98" spans="1:9" x14ac:dyDescent="0.25">
      <c r="A98" s="160" t="s">
        <v>624</v>
      </c>
      <c r="B98" s="59">
        <v>0.13</v>
      </c>
      <c r="C98" s="158" t="s">
        <v>625</v>
      </c>
      <c r="E98" s="150"/>
      <c r="F98" s="155"/>
      <c r="I98" s="150"/>
    </row>
    <row r="99" spans="1:9" x14ac:dyDescent="0.25">
      <c r="A99" s="160" t="s">
        <v>626</v>
      </c>
      <c r="B99" s="59">
        <v>0.26</v>
      </c>
      <c r="C99" s="158"/>
      <c r="E99" s="150"/>
      <c r="F99" s="155"/>
      <c r="I99" s="150"/>
    </row>
    <row r="100" spans="1:9" x14ac:dyDescent="0.25">
      <c r="A100" s="160" t="s">
        <v>627</v>
      </c>
      <c r="B100" s="59">
        <v>0.38</v>
      </c>
      <c r="C100" s="158"/>
      <c r="E100" s="150"/>
      <c r="F100" s="155"/>
      <c r="I100" s="150"/>
    </row>
    <row r="102" spans="1:9" x14ac:dyDescent="0.25">
      <c r="E102" s="150"/>
    </row>
    <row r="103" spans="1:9" ht="31.5" x14ac:dyDescent="0.5">
      <c r="A103" s="1142" t="s">
        <v>589</v>
      </c>
      <c r="B103" s="1142"/>
      <c r="C103" s="1142"/>
      <c r="D103" s="1142"/>
      <c r="E103" s="150"/>
    </row>
    <row r="104" spans="1:9" x14ac:dyDescent="0.25">
      <c r="A104" s="545" t="s">
        <v>628</v>
      </c>
      <c r="B104" s="545" t="s">
        <v>629</v>
      </c>
      <c r="C104" s="1143" t="s">
        <v>630</v>
      </c>
      <c r="D104" s="1143"/>
      <c r="E104" s="150"/>
      <c r="F104" s="155"/>
      <c r="I104" s="150"/>
    </row>
    <row r="105" spans="1:9" x14ac:dyDescent="0.25">
      <c r="A105" s="158" t="s">
        <v>631</v>
      </c>
      <c r="B105" s="56">
        <v>1.1023099999999999</v>
      </c>
      <c r="C105" s="1135" t="s">
        <v>632</v>
      </c>
      <c r="D105" s="1135"/>
      <c r="E105" s="150"/>
      <c r="F105" s="155"/>
      <c r="I105" s="150"/>
    </row>
    <row r="106" spans="1:9" x14ac:dyDescent="0.25">
      <c r="A106" s="158" t="s">
        <v>633</v>
      </c>
      <c r="B106" s="56">
        <v>1000</v>
      </c>
      <c r="C106" s="1135" t="s">
        <v>634</v>
      </c>
      <c r="D106" s="1135"/>
      <c r="E106" s="150"/>
      <c r="F106" s="155"/>
      <c r="I106" s="150"/>
    </row>
    <row r="107" spans="1:9" x14ac:dyDescent="0.25">
      <c r="A107" s="161" t="s">
        <v>634</v>
      </c>
      <c r="B107" s="56">
        <v>8760</v>
      </c>
      <c r="C107" s="1135" t="s">
        <v>635</v>
      </c>
      <c r="D107" s="1135"/>
      <c r="E107" s="150"/>
      <c r="F107" s="155"/>
      <c r="I107" s="150"/>
    </row>
    <row r="108" spans="1:9" x14ac:dyDescent="0.25">
      <c r="A108" s="158" t="s">
        <v>636</v>
      </c>
      <c r="B108" s="56">
        <v>1000000</v>
      </c>
      <c r="C108" s="1135" t="s">
        <v>634</v>
      </c>
      <c r="D108" s="1135"/>
      <c r="E108" s="150"/>
      <c r="F108" s="155"/>
      <c r="I108" s="150"/>
    </row>
    <row r="109" spans="1:9" x14ac:dyDescent="0.25">
      <c r="A109" s="158" t="s">
        <v>637</v>
      </c>
      <c r="B109" s="56">
        <v>100</v>
      </c>
      <c r="C109" s="1135" t="s">
        <v>638</v>
      </c>
      <c r="D109" s="1135"/>
      <c r="E109" s="150"/>
      <c r="F109" s="155"/>
      <c r="I109" s="150"/>
    </row>
    <row r="110" spans="1:9" x14ac:dyDescent="0.25">
      <c r="A110" s="158" t="s">
        <v>638</v>
      </c>
      <c r="B110" s="56">
        <v>1000</v>
      </c>
      <c r="C110" s="1135" t="s">
        <v>639</v>
      </c>
      <c r="D110" s="1135"/>
      <c r="E110" s="150"/>
      <c r="F110" s="155"/>
      <c r="I110" s="150"/>
    </row>
    <row r="111" spans="1:9" x14ac:dyDescent="0.25">
      <c r="A111" s="158" t="s">
        <v>207</v>
      </c>
      <c r="B111" s="56">
        <v>1000000</v>
      </c>
      <c r="C111" s="1135" t="s">
        <v>639</v>
      </c>
      <c r="D111" s="1135"/>
      <c r="E111" s="150"/>
      <c r="F111" s="155"/>
      <c r="I111" s="150"/>
    </row>
    <row r="112" spans="1:9" x14ac:dyDescent="0.25">
      <c r="A112" s="158" t="s">
        <v>207</v>
      </c>
      <c r="B112" s="56">
        <v>10</v>
      </c>
      <c r="C112" s="1135" t="s">
        <v>637</v>
      </c>
      <c r="D112" s="1135"/>
      <c r="E112" s="150"/>
      <c r="F112" s="155"/>
      <c r="I112" s="150"/>
    </row>
    <row r="113" spans="1:9" x14ac:dyDescent="0.25">
      <c r="B113" s="52"/>
      <c r="E113" s="150"/>
      <c r="F113" s="155"/>
      <c r="I113" s="150"/>
    </row>
    <row r="114" spans="1:9" x14ac:dyDescent="0.25">
      <c r="A114" s="545" t="s">
        <v>507</v>
      </c>
      <c r="B114" s="545" t="s">
        <v>622</v>
      </c>
      <c r="C114" s="545" t="s">
        <v>628</v>
      </c>
      <c r="D114" s="1136" t="s">
        <v>623</v>
      </c>
      <c r="E114" s="1137"/>
      <c r="F114" s="155"/>
      <c r="I114" s="150"/>
    </row>
    <row r="115" spans="1:9" x14ac:dyDescent="0.25">
      <c r="A115" s="158" t="s">
        <v>640</v>
      </c>
      <c r="B115" s="158">
        <v>42</v>
      </c>
      <c r="C115" s="158" t="s">
        <v>641</v>
      </c>
      <c r="D115" s="1138" t="s">
        <v>519</v>
      </c>
      <c r="E115" s="1138"/>
      <c r="F115" s="155"/>
      <c r="I115" s="150"/>
    </row>
    <row r="116" spans="1:9" x14ac:dyDescent="0.25">
      <c r="A116" s="158" t="s">
        <v>642</v>
      </c>
      <c r="B116" s="158">
        <v>2000</v>
      </c>
      <c r="C116" s="158" t="s">
        <v>643</v>
      </c>
      <c r="D116" s="1138" t="s">
        <v>519</v>
      </c>
      <c r="E116" s="1138"/>
      <c r="F116" s="155"/>
      <c r="I116" s="150"/>
    </row>
    <row r="117" spans="1:9" x14ac:dyDescent="0.25">
      <c r="A117" s="158" t="s">
        <v>644</v>
      </c>
      <c r="B117" s="158">
        <v>2240</v>
      </c>
      <c r="C117" s="158" t="s">
        <v>643</v>
      </c>
      <c r="D117" s="1138" t="s">
        <v>519</v>
      </c>
      <c r="E117" s="1138"/>
      <c r="F117" s="155"/>
      <c r="I117" s="150"/>
    </row>
    <row r="118" spans="1:9" x14ac:dyDescent="0.25">
      <c r="A118" s="158" t="s">
        <v>645</v>
      </c>
      <c r="B118" s="158">
        <v>1000</v>
      </c>
      <c r="C118" s="158" t="s">
        <v>646</v>
      </c>
      <c r="D118" s="1138" t="s">
        <v>519</v>
      </c>
      <c r="E118" s="1138"/>
      <c r="F118" s="155"/>
      <c r="I118" s="150"/>
    </row>
    <row r="119" spans="1:9" x14ac:dyDescent="0.25">
      <c r="A119" s="158" t="s">
        <v>647</v>
      </c>
      <c r="B119" s="158">
        <v>1.25</v>
      </c>
      <c r="C119" s="158" t="s">
        <v>648</v>
      </c>
      <c r="D119" s="1138" t="s">
        <v>519</v>
      </c>
      <c r="E119" s="1138"/>
      <c r="F119" s="155"/>
      <c r="I119" s="150"/>
    </row>
    <row r="120" spans="1:9" x14ac:dyDescent="0.25">
      <c r="A120" s="158" t="s">
        <v>647</v>
      </c>
      <c r="B120" s="158">
        <v>128</v>
      </c>
      <c r="C120" s="158" t="s">
        <v>649</v>
      </c>
      <c r="D120" s="1138" t="s">
        <v>519</v>
      </c>
      <c r="E120" s="1138"/>
      <c r="F120" s="155"/>
      <c r="I120" s="150"/>
    </row>
    <row r="121" spans="1:9" x14ac:dyDescent="0.25">
      <c r="A121" s="158" t="s">
        <v>650</v>
      </c>
      <c r="B121" s="160">
        <v>2205</v>
      </c>
      <c r="C121" s="158" t="s">
        <v>643</v>
      </c>
      <c r="D121" s="1134"/>
      <c r="E121" s="1134"/>
      <c r="F121" s="155"/>
      <c r="I121" s="150"/>
    </row>
    <row r="122" spans="1:9" x14ac:dyDescent="0.25">
      <c r="B122" s="52"/>
      <c r="E122" s="150"/>
      <c r="F122" s="155"/>
      <c r="I122" s="150"/>
    </row>
  </sheetData>
  <mergeCells count="27">
    <mergeCell ref="C79:D82"/>
    <mergeCell ref="A12:G12"/>
    <mergeCell ref="C109:D109"/>
    <mergeCell ref="C110:D110"/>
    <mergeCell ref="H12:I12"/>
    <mergeCell ref="I67:J71"/>
    <mergeCell ref="A73:D73"/>
    <mergeCell ref="C75:D78"/>
    <mergeCell ref="C105:D105"/>
    <mergeCell ref="C106:D106"/>
    <mergeCell ref="C111:D111"/>
    <mergeCell ref="A84:D84"/>
    <mergeCell ref="A86:B86"/>
    <mergeCell ref="A96:C96"/>
    <mergeCell ref="A103:D103"/>
    <mergeCell ref="C104:D104"/>
    <mergeCell ref="C107:D107"/>
    <mergeCell ref="C108:D108"/>
    <mergeCell ref="D121:E121"/>
    <mergeCell ref="C112:D112"/>
    <mergeCell ref="D114:E114"/>
    <mergeCell ref="D115:E115"/>
    <mergeCell ref="D116:E116"/>
    <mergeCell ref="D117:E117"/>
    <mergeCell ref="D118:E118"/>
    <mergeCell ref="D119:E119"/>
    <mergeCell ref="D120:E120"/>
  </mergeCells>
  <phoneticPr fontId="0" type="noConversion"/>
  <hyperlinks>
    <hyperlink ref="C83" r:id="rId1" location="vehicles" xr:uid="{00000000-0004-0000-1700-000000000000}"/>
    <hyperlink ref="G62" r:id="rId2" xr:uid="{00000000-0004-0000-1700-000001000000}"/>
    <hyperlink ref="G61" r:id="rId3" xr:uid="{00000000-0004-0000-1700-000002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7"/>
  <dimension ref="A1"/>
  <sheetViews>
    <sheetView workbookViewId="0">
      <selection activeCell="D16" sqref="D16"/>
    </sheetView>
  </sheetViews>
  <sheetFormatPr defaultRowHeight="12.75" x14ac:dyDescent="0.2"/>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19"/>
  <dimension ref="A1"/>
  <sheetViews>
    <sheetView workbookViewId="0">
      <selection activeCell="D16" sqref="D16"/>
    </sheetView>
  </sheetViews>
  <sheetFormatPr defaultRowHeight="12.75" x14ac:dyDescent="0.2"/>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0"/>
  <dimension ref="A1"/>
  <sheetViews>
    <sheetView workbookViewId="0"/>
  </sheetViews>
  <sheetFormatPr defaultRowHeight="12.75" x14ac:dyDescent="0.2"/>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110"/>
  <dimension ref="A1"/>
  <sheetViews>
    <sheetView workbookViewId="0"/>
  </sheetViews>
  <sheetFormatPr defaultRowHeight="12.75" x14ac:dyDescent="0.2"/>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2"/>
  <dimension ref="A1"/>
  <sheetViews>
    <sheetView workbookViewId="0">
      <selection activeCell="C14" sqref="C14:F19"/>
    </sheetView>
  </sheetViews>
  <sheetFormatPr defaultRowHeight="12.75" x14ac:dyDescent="0.2"/>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8F8DD828853E5438D2DF9DCD73E8196" ma:contentTypeVersion="12" ma:contentTypeDescription="Create a new document." ma:contentTypeScope="" ma:versionID="b21eef2a234edb31646be2d1d8bc243e">
  <xsd:schema xmlns:xsd="http://www.w3.org/2001/XMLSchema" xmlns:xs="http://www.w3.org/2001/XMLSchema" xmlns:p="http://schemas.microsoft.com/office/2006/metadata/properties" xmlns:ns3="bc85f867-c84a-4c6e-a937-3f9521e6c8af" xmlns:ns4="fa52f5b1-69a0-4ce9-b1f5-4ccedabf4d36" targetNamespace="http://schemas.microsoft.com/office/2006/metadata/properties" ma:root="true" ma:fieldsID="ddb062f0011973a2173958ffa10aff4c" ns3:_="" ns4:_="">
    <xsd:import namespace="bc85f867-c84a-4c6e-a937-3f9521e6c8af"/>
    <xsd:import namespace="fa52f5b1-69a0-4ce9-b1f5-4ccedabf4d36"/>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EventHashCode" minOccurs="0"/>
                <xsd:element ref="ns3:MediaServiceGenerationTim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85f867-c84a-4c6e-a937-3f9521e6c8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52f5b1-69a0-4ce9-b1f5-4ccedabf4d36"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C569ED-4D8E-404B-8EF8-F49271F15D9F}">
  <ds:schemaRefs>
    <ds:schemaRef ds:uri="bc85f867-c84a-4c6e-a937-3f9521e6c8af"/>
    <ds:schemaRef ds:uri="http://purl.org/dc/dcmitype/"/>
    <ds:schemaRef ds:uri="http://schemas.microsoft.com/office/2006/documentManagement/types"/>
    <ds:schemaRef ds:uri="http://schemas.microsoft.com/office/2006/metadata/properties"/>
    <ds:schemaRef ds:uri="fa52f5b1-69a0-4ce9-b1f5-4ccedabf4d36"/>
    <ds:schemaRef ds:uri="http://purl.org/dc/terms/"/>
    <ds:schemaRef ds:uri="http://purl.org/dc/elements/1.1/"/>
    <ds:schemaRef ds:uri="http://schemas.openxmlformats.org/package/2006/metadata/core-properties"/>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4ECD3DD6-214D-41ED-A61F-69E06E4E08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c85f867-c84a-4c6e-a937-3f9521e6c8af"/>
    <ds:schemaRef ds:uri="fa52f5b1-69a0-4ce9-b1f5-4ccedabf4d3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06FDA91-54FF-4D2F-88DE-76D9B10C818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24</vt:i4>
      </vt:variant>
    </vt:vector>
  </HeadingPairs>
  <TitlesOfParts>
    <vt:vector size="51" baseType="lpstr">
      <vt:lpstr>ICF</vt:lpstr>
      <vt:lpstr>General Instructions </vt:lpstr>
      <vt:lpstr>AR Compliance Checklist</vt:lpstr>
      <vt:lpstr>Crit 1 &amp; 2</vt:lpstr>
      <vt:lpstr>Crit 1 &amp; 2 - Table 1 Sample</vt:lpstr>
      <vt:lpstr>Crit 3 - Overview</vt:lpstr>
      <vt:lpstr>Building Stock Changes Doc </vt:lpstr>
      <vt:lpstr>Building Stock Change Calculato</vt:lpstr>
      <vt:lpstr>Crit 3 - Table  2 Progress</vt:lpstr>
      <vt:lpstr>Crit 3 -Tbl 3 for Non-MEI Users</vt:lpstr>
      <vt:lpstr>Crit 3 - ECMs</vt:lpstr>
      <vt:lpstr>Crit 3 - Table 4 ECMs</vt:lpstr>
      <vt:lpstr>Crit 3 - Tbl 4 ECMs SAMPLE Data</vt:lpstr>
      <vt:lpstr>RE Guidance</vt:lpstr>
      <vt:lpstr>Crit 3 - Table 5 RE</vt:lpstr>
      <vt:lpstr>Crit 4 - Vehicle Policies</vt:lpstr>
      <vt:lpstr>Crit 4- Table 6 Vehicle Inv</vt:lpstr>
      <vt:lpstr>Crit 4- Table 6 SAMPLE</vt:lpstr>
      <vt:lpstr>Crit 5 - Stretch Code complianc</vt:lpstr>
      <vt:lpstr>Other Notes</vt:lpstr>
      <vt:lpstr>DOER reference</vt:lpstr>
      <vt:lpstr>Reference</vt:lpstr>
      <vt:lpstr>Sheet1</vt:lpstr>
      <vt:lpstr>Sheet2</vt:lpstr>
      <vt:lpstr>Sheet3</vt:lpstr>
      <vt:lpstr>Sheet5</vt:lpstr>
      <vt:lpstr>Sheet6</vt:lpstr>
      <vt:lpstr>Category</vt:lpstr>
      <vt:lpstr>ECMs</vt:lpstr>
      <vt:lpstr>ECMstatus</vt:lpstr>
      <vt:lpstr>GalDiesel_MMBTU</vt:lpstr>
      <vt:lpstr>GalFuelOil_MMBTU</vt:lpstr>
      <vt:lpstr>GalGasoline_MMBTU</vt:lpstr>
      <vt:lpstr>GalPropane_MMBTU</vt:lpstr>
      <vt:lpstr>kwh_MMBTU</vt:lpstr>
      <vt:lpstr>ListDriveSystem</vt:lpstr>
      <vt:lpstr>ListExempt</vt:lpstr>
      <vt:lpstr>ListOver8500</vt:lpstr>
      <vt:lpstr>ListStretch</vt:lpstr>
      <vt:lpstr>ListYN</vt:lpstr>
      <vt:lpstr>'Building Stock Change Calculato'!Print_Area</vt:lpstr>
      <vt:lpstr>'Crit 3 - Table 4 ECMs'!Print_Area</vt:lpstr>
      <vt:lpstr>'Crit 3 - Tbl 4 ECMs SAMPLE Data'!Print_Area</vt:lpstr>
      <vt:lpstr>'Crit 3 -Tbl 3 for Non-MEI Users'!Print_Area</vt:lpstr>
      <vt:lpstr>Procuring.Energy.Output</vt:lpstr>
      <vt:lpstr>Procuring.Energy.Output.</vt:lpstr>
      <vt:lpstr>ResourceType.</vt:lpstr>
      <vt:lpstr>SiteType.</vt:lpstr>
      <vt:lpstr>Status</vt:lpstr>
      <vt:lpstr>therms_MMBTU</vt:lpstr>
      <vt:lpstr>Years</vt:lpstr>
    </vt:vector>
  </TitlesOfParts>
  <Manager/>
  <Company>ICF Consulting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ICF</dc:creator>
  <cp:keywords/>
  <dc:description/>
  <cp:lastModifiedBy>Sasha Shyduroff</cp:lastModifiedBy>
  <cp:revision/>
  <cp:lastPrinted>2020-11-05T18:11:59Z</cp:lastPrinted>
  <dcterms:created xsi:type="dcterms:W3CDTF">2010-12-13T22:20:26Z</dcterms:created>
  <dcterms:modified xsi:type="dcterms:W3CDTF">2020-11-05T18:24:54Z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ffisync_FolderId">
    <vt:lpwstr/>
  </property>
  <property fmtid="{D5CDD505-2E9C-101B-9397-08002B2CF9AE}" pid="3" name="Offisync_SaveTime">
    <vt:lpwstr/>
  </property>
  <property fmtid="{D5CDD505-2E9C-101B-9397-08002B2CF9AE}" pid="4" name="Offisync_IsSaved">
    <vt:lpwstr>False</vt:lpwstr>
  </property>
  <property fmtid="{D5CDD505-2E9C-101B-9397-08002B2CF9AE}" pid="5" name="Offisync_UniqueId">
    <vt:lpwstr>180849;26504792</vt:lpwstr>
  </property>
  <property fmtid="{D5CDD505-2E9C-101B-9397-08002B2CF9AE}" pid="6" name="CentralDesktop_MDAdded">
    <vt:lpwstr>True</vt:lpwstr>
  </property>
  <property fmtid="{D5CDD505-2E9C-101B-9397-08002B2CF9AE}" pid="7" name="Offisync_FileTitle">
    <vt:lpwstr/>
  </property>
  <property fmtid="{D5CDD505-2E9C-101B-9397-08002B2CF9AE}" pid="8" name="Offisync_UpdateToken">
    <vt:lpwstr>2013-08-29T10:00:37-0400</vt:lpwstr>
  </property>
  <property fmtid="{D5CDD505-2E9C-101B-9397-08002B2CF9AE}" pid="9" name="Offisync_ProviderName">
    <vt:lpwstr>Central Desktop</vt:lpwstr>
  </property>
  <property fmtid="{D5CDD505-2E9C-101B-9397-08002B2CF9AE}" pid="10" name="ContentTypeId">
    <vt:lpwstr>0x01010088F8DD828853E5438D2DF9DCD73E8196</vt:lpwstr>
  </property>
</Properties>
</file>